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zminivettereyesserrano/Library/Mobile Documents/com~apple~CloudDocs/Documents/Financiero/Spot /"/>
    </mc:Choice>
  </mc:AlternateContent>
  <xr:revisionPtr revIDLastSave="0" documentId="13_ncr:1_{DA1BF37C-939D-194D-B7D2-7167CD3163CA}" xr6:coauthVersionLast="47" xr6:coauthVersionMax="47" xr10:uidLastSave="{00000000-0000-0000-0000-000000000000}"/>
  <bookViews>
    <workbookView xWindow="0" yWindow="460" windowWidth="28800" windowHeight="15840" tabRatio="807" activeTab="3" xr2:uid="{00000000-000D-0000-FFFF-FFFF00000000}"/>
  </bookViews>
  <sheets>
    <sheet name="INVERSION" sheetId="124" r:id="rId1"/>
    <sheet name="Balance Inic" sheetId="203" r:id="rId2"/>
    <sheet name="Pago Financiamto" sheetId="204" r:id="rId3"/>
    <sheet name="Pres.Ventas" sheetId="327" r:id="rId4"/>
    <sheet name="DATOS COST UNIT." sheetId="339" r:id="rId5"/>
    <sheet name="Costo de Prod" sheetId="128" r:id="rId6"/>
    <sheet name="Pres. de compras año 1" sheetId="324" r:id="rId7"/>
    <sheet name="Nomina año 1 " sheetId="325" r:id="rId8"/>
    <sheet name="Pres. Costos Fijos año 1" sheetId="326" r:id="rId9"/>
    <sheet name="Inventario año 1" sheetId="322" r:id="rId10"/>
    <sheet name="Concent, Vtas, CdeV, Gastos A1" sheetId="261" r:id="rId11"/>
    <sheet name="Flujo Efec mensual 5 Años" sheetId="30" r:id="rId12"/>
    <sheet name=" Deprec. 5 años" sheetId="227" r:id="rId13"/>
    <sheet name="Edo.Result Proy" sheetId="31" r:id="rId14"/>
    <sheet name="Balances Proy" sheetId="226" r:id="rId15"/>
    <sheet name="Razones Fin" sheetId="249" r:id="rId16"/>
    <sheet name="P Equilibrio" sheetId="202" r:id="rId17"/>
    <sheet name="VAN TIR" sheetId="250" r:id="rId18"/>
    <sheet name="SENSIBILIDAD" sheetId="190" r:id="rId19"/>
  </sheets>
  <externalReferences>
    <externalReference r:id="rId20"/>
  </externalReferences>
  <definedNames>
    <definedName name="_C1">#REF!</definedName>
    <definedName name="_C10">#REF!</definedName>
    <definedName name="_C11">#REF!</definedName>
    <definedName name="_C12">#REF!</definedName>
    <definedName name="_C2">#REF!</definedName>
    <definedName name="_C3">#REF!</definedName>
    <definedName name="_C4">#REF!</definedName>
    <definedName name="_C5">#REF!</definedName>
    <definedName name="_C6">#REF!</definedName>
    <definedName name="_C7">#REF!</definedName>
    <definedName name="_C8">#REF!</definedName>
    <definedName name="_C9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Amort._de_Capital">#REF!</definedName>
    <definedName name="_xlnm.Extract">#REF!</definedName>
    <definedName name="_xlnm.Print_Area" localSheetId="13">'Edo.Result Proy'!$A$1:$M$35</definedName>
    <definedName name="_xlnm.Print_Area" localSheetId="11">'Flujo Efec mensual 5 Años'!$A$2:$W$148</definedName>
    <definedName name="_xlnm.Print_Area" localSheetId="0">INVERSION!$A$3:$D$66</definedName>
    <definedName name="Base_datos_IM">#REF!</definedName>
    <definedName name="_xlnm.Database">#REF!</definedName>
    <definedName name="Capital">#REF!</definedName>
    <definedName name="COVUL">#REF!</definedName>
    <definedName name="Extracción_IM">#REF!</definedName>
    <definedName name="IntCH">#REF!</definedName>
    <definedName name="Intereses_CH">#REF!</definedName>
    <definedName name="InteresesCH98">#N/A</definedName>
    <definedName name="Jazzreyes35">#REF!</definedName>
    <definedName name="Pago_mensual">#REF!</definedName>
    <definedName name="Pago_mes">#N/A</definedName>
    <definedName name="SdoFin.C.H.L.P.1998">#REF!</definedName>
    <definedName name="SdoFinC.H.C.Pzo.1998">#REF!</definedName>
    <definedName name="Tasa_anual">#REF!</definedName>
    <definedName name="Tasa_mes">#N/A</definedName>
    <definedName name="_xlnm.Print_Titles" localSheetId="11">'Flujo Efec mensual 5 Años'!$2:$5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327" l="1"/>
  <c r="C12" i="327"/>
  <c r="C11" i="327"/>
  <c r="D46" i="124"/>
  <c r="C46" i="124"/>
  <c r="A58" i="327"/>
  <c r="A57" i="327"/>
  <c r="A56" i="327"/>
  <c r="A79" i="327" s="1"/>
  <c r="A101" i="327" s="1"/>
  <c r="A15" i="339" s="1"/>
  <c r="A33" i="339" s="1"/>
  <c r="A54" i="339" s="1"/>
  <c r="A45" i="128" s="1"/>
  <c r="A55" i="327"/>
  <c r="A78" i="327" s="1"/>
  <c r="A100" i="327" s="1"/>
  <c r="A54" i="327"/>
  <c r="A53" i="327"/>
  <c r="A52" i="327"/>
  <c r="A32" i="327"/>
  <c r="A33" i="327"/>
  <c r="A34" i="327"/>
  <c r="A35" i="327"/>
  <c r="A36" i="327"/>
  <c r="A37" i="327"/>
  <c r="A38" i="327"/>
  <c r="A51" i="327"/>
  <c r="A74" i="327" s="1"/>
  <c r="A96" i="327" s="1"/>
  <c r="C49" i="339"/>
  <c r="C43" i="327"/>
  <c r="A31" i="327"/>
  <c r="D54" i="124"/>
  <c r="D52" i="124"/>
  <c r="D51" i="124"/>
  <c r="D20" i="124"/>
  <c r="L9" i="250"/>
  <c r="L10" i="250"/>
  <c r="L11" i="250"/>
  <c r="L12" i="250"/>
  <c r="L13" i="250"/>
  <c r="O18" i="250"/>
  <c r="O19" i="250" s="1"/>
  <c r="K15" i="250" s="1"/>
  <c r="F24" i="250"/>
  <c r="M12" i="250" s="1"/>
  <c r="G24" i="250"/>
  <c r="M13" i="250" s="1"/>
  <c r="F25" i="250"/>
  <c r="G25" i="250"/>
  <c r="C27" i="250"/>
  <c r="B2" i="226"/>
  <c r="B21" i="226"/>
  <c r="C21" i="226"/>
  <c r="D21" i="226" s="1"/>
  <c r="B22" i="226"/>
  <c r="C22" i="226"/>
  <c r="D22" i="226" s="1"/>
  <c r="E22" i="226" s="1"/>
  <c r="F22" i="226" s="1"/>
  <c r="G22" i="226" s="1"/>
  <c r="B23" i="226"/>
  <c r="C23" i="226"/>
  <c r="D23" i="226" s="1"/>
  <c r="E23" i="226" s="1"/>
  <c r="F23" i="226" s="1"/>
  <c r="G23" i="226" s="1"/>
  <c r="B24" i="226"/>
  <c r="C24" i="226"/>
  <c r="D24" i="226" s="1"/>
  <c r="E24" i="226" s="1"/>
  <c r="F24" i="226" s="1"/>
  <c r="G24" i="226" s="1"/>
  <c r="B25" i="226"/>
  <c r="C25" i="226"/>
  <c r="D25" i="226" s="1"/>
  <c r="E25" i="226" s="1"/>
  <c r="F25" i="226" s="1"/>
  <c r="G25" i="226" s="1"/>
  <c r="B26" i="226"/>
  <c r="C26" i="226"/>
  <c r="D26" i="226" s="1"/>
  <c r="E26" i="226" s="1"/>
  <c r="F26" i="226" s="1"/>
  <c r="G26" i="226" s="1"/>
  <c r="D33" i="226"/>
  <c r="E33" i="226"/>
  <c r="F33" i="226"/>
  <c r="G33" i="226"/>
  <c r="A2" i="31"/>
  <c r="H7" i="31"/>
  <c r="H8" i="31"/>
  <c r="H9" i="31"/>
  <c r="H11" i="31"/>
  <c r="H12" i="31"/>
  <c r="H13" i="31"/>
  <c r="H14" i="31"/>
  <c r="H16" i="31"/>
  <c r="H17" i="31"/>
  <c r="H18" i="31"/>
  <c r="B21" i="31"/>
  <c r="C21" i="31"/>
  <c r="C28" i="31"/>
  <c r="D21" i="31"/>
  <c r="D28" i="31" s="1"/>
  <c r="E21" i="31"/>
  <c r="E28" i="31"/>
  <c r="F21" i="31"/>
  <c r="F28" i="31" s="1"/>
  <c r="A22" i="31"/>
  <c r="G22" i="31"/>
  <c r="A23" i="31"/>
  <c r="G23" i="31"/>
  <c r="A24" i="31"/>
  <c r="G24" i="31"/>
  <c r="A25" i="31"/>
  <c r="G25" i="31"/>
  <c r="A26" i="31"/>
  <c r="G26" i="31"/>
  <c r="B28" i="31"/>
  <c r="O6" i="30"/>
  <c r="O7" i="30"/>
  <c r="O13" i="30"/>
  <c r="Y17" i="30"/>
  <c r="Z17" i="30"/>
  <c r="O33" i="30"/>
  <c r="O34" i="30"/>
  <c r="A39" i="30"/>
  <c r="O39" i="30"/>
  <c r="O59" i="30"/>
  <c r="O60" i="30"/>
  <c r="O65" i="30"/>
  <c r="C71" i="30"/>
  <c r="D71" i="30"/>
  <c r="E71" i="30"/>
  <c r="F71" i="30"/>
  <c r="G71" i="30"/>
  <c r="H71" i="30"/>
  <c r="I71" i="30"/>
  <c r="J71" i="30"/>
  <c r="K71" i="30"/>
  <c r="L71" i="30"/>
  <c r="M71" i="30"/>
  <c r="N71" i="30"/>
  <c r="C72" i="30"/>
  <c r="D72" i="30"/>
  <c r="E72" i="30"/>
  <c r="F72" i="30"/>
  <c r="G72" i="30"/>
  <c r="H72" i="30"/>
  <c r="I72" i="30"/>
  <c r="J72" i="30"/>
  <c r="K72" i="30"/>
  <c r="L72" i="30"/>
  <c r="M72" i="30"/>
  <c r="N72" i="30"/>
  <c r="O85" i="30"/>
  <c r="O86" i="30"/>
  <c r="O96" i="30"/>
  <c r="C97" i="30"/>
  <c r="O97" i="30" s="1"/>
  <c r="D97" i="30"/>
  <c r="E97" i="30"/>
  <c r="F97" i="30"/>
  <c r="G97" i="30"/>
  <c r="H97" i="30"/>
  <c r="I97" i="30"/>
  <c r="J97" i="30"/>
  <c r="K97" i="30"/>
  <c r="L97" i="30"/>
  <c r="M97" i="30"/>
  <c r="N97" i="30"/>
  <c r="C98" i="30"/>
  <c r="O98" i="30" s="1"/>
  <c r="E13" i="31" s="1"/>
  <c r="D98" i="30"/>
  <c r="E98" i="30"/>
  <c r="F98" i="30"/>
  <c r="G98" i="30"/>
  <c r="H98" i="30"/>
  <c r="I98" i="30"/>
  <c r="J98" i="30"/>
  <c r="K98" i="30"/>
  <c r="L98" i="30"/>
  <c r="M98" i="30"/>
  <c r="N98" i="30"/>
  <c r="O117" i="30"/>
  <c r="C123" i="30"/>
  <c r="D123" i="30"/>
  <c r="E123" i="30"/>
  <c r="F123" i="30"/>
  <c r="G123" i="30"/>
  <c r="H123" i="30"/>
  <c r="I123" i="30"/>
  <c r="J123" i="30"/>
  <c r="K123" i="30"/>
  <c r="L123" i="30"/>
  <c r="M123" i="30"/>
  <c r="N123" i="30"/>
  <c r="C124" i="30"/>
  <c r="D124" i="30"/>
  <c r="E124" i="30"/>
  <c r="F124" i="30"/>
  <c r="G124" i="30"/>
  <c r="H124" i="30"/>
  <c r="I124" i="30"/>
  <c r="J124" i="30"/>
  <c r="K124" i="30"/>
  <c r="L124" i="30"/>
  <c r="M124" i="30"/>
  <c r="N124" i="30"/>
  <c r="A11" i="261"/>
  <c r="A76" i="261" s="1"/>
  <c r="A117" i="261" s="1"/>
  <c r="B11" i="261"/>
  <c r="B117" i="261" s="1"/>
  <c r="A12" i="261"/>
  <c r="A77" i="261" s="1"/>
  <c r="A118" i="261" s="1"/>
  <c r="B12" i="261"/>
  <c r="B118" i="261" s="1"/>
  <c r="A13" i="261"/>
  <c r="A78" i="261" s="1"/>
  <c r="A119" i="261" s="1"/>
  <c r="B13" i="261"/>
  <c r="B119" i="261" s="1"/>
  <c r="A14" i="261"/>
  <c r="A79" i="261" s="1"/>
  <c r="A120" i="261" s="1"/>
  <c r="B14" i="261"/>
  <c r="B99" i="261" s="1"/>
  <c r="A15" i="261"/>
  <c r="A80" i="261" s="1"/>
  <c r="A121" i="261" s="1"/>
  <c r="B15" i="261"/>
  <c r="B121" i="261" s="1"/>
  <c r="A16" i="261"/>
  <c r="A81" i="261" s="1"/>
  <c r="A122" i="261" s="1"/>
  <c r="B16" i="261"/>
  <c r="B101" i="261" s="1"/>
  <c r="A17" i="261"/>
  <c r="A82" i="261" s="1"/>
  <c r="A123" i="261" s="1"/>
  <c r="B17" i="261"/>
  <c r="A18" i="261"/>
  <c r="A83" i="261" s="1"/>
  <c r="A124" i="261" s="1"/>
  <c r="B18" i="261"/>
  <c r="A19" i="261"/>
  <c r="A84" i="261" s="1"/>
  <c r="A125" i="261" s="1"/>
  <c r="B19" i="261"/>
  <c r="B104" i="261" s="1"/>
  <c r="A20" i="261"/>
  <c r="A85" i="261" s="1"/>
  <c r="A126" i="261" s="1"/>
  <c r="B20" i="261"/>
  <c r="B85" i="261" s="1"/>
  <c r="A21" i="261"/>
  <c r="A86" i="261" s="1"/>
  <c r="A127" i="261" s="1"/>
  <c r="B21" i="261"/>
  <c r="A22" i="261"/>
  <c r="A87" i="261" s="1"/>
  <c r="A128" i="261" s="1"/>
  <c r="B22" i="261"/>
  <c r="B128" i="261" s="1"/>
  <c r="C27" i="261"/>
  <c r="E27" i="261"/>
  <c r="A29" i="261"/>
  <c r="A96" i="261" s="1"/>
  <c r="A30" i="261"/>
  <c r="A97" i="261" s="1"/>
  <c r="A31" i="261"/>
  <c r="A98" i="261" s="1"/>
  <c r="A32" i="261"/>
  <c r="A99" i="261" s="1"/>
  <c r="A33" i="261"/>
  <c r="A100" i="261" s="1"/>
  <c r="A34" i="261"/>
  <c r="A101" i="261" s="1"/>
  <c r="A35" i="261"/>
  <c r="A102" i="261" s="1"/>
  <c r="A36" i="261"/>
  <c r="A103" i="261" s="1"/>
  <c r="A37" i="261"/>
  <c r="A104" i="261" s="1"/>
  <c r="A38" i="261"/>
  <c r="A105" i="261" s="1"/>
  <c r="A39" i="261"/>
  <c r="A106" i="261" s="1"/>
  <c r="A40" i="261"/>
  <c r="A107" i="261" s="1"/>
  <c r="A47" i="261"/>
  <c r="A48" i="261"/>
  <c r="C48" i="261"/>
  <c r="A49" i="261"/>
  <c r="C49" i="261"/>
  <c r="A50" i="261"/>
  <c r="C50" i="261"/>
  <c r="A51" i="261"/>
  <c r="C51" i="261"/>
  <c r="A52" i="261"/>
  <c r="C52" i="261"/>
  <c r="A53" i="261"/>
  <c r="C53" i="261"/>
  <c r="A54" i="261"/>
  <c r="C54" i="261"/>
  <c r="A55" i="261"/>
  <c r="C55" i="261"/>
  <c r="A56" i="261"/>
  <c r="C56" i="261"/>
  <c r="A57" i="261"/>
  <c r="C57" i="261"/>
  <c r="A58" i="261"/>
  <c r="C58" i="261"/>
  <c r="A69" i="261"/>
  <c r="F1" i="326"/>
  <c r="C10" i="326"/>
  <c r="D10" i="326" s="1"/>
  <c r="E10" i="326" s="1"/>
  <c r="F10" i="326" s="1"/>
  <c r="G10" i="326" s="1"/>
  <c r="H10" i="326" s="1"/>
  <c r="I10" i="326" s="1"/>
  <c r="J10" i="326" s="1"/>
  <c r="K10" i="326" s="1"/>
  <c r="L10" i="326" s="1"/>
  <c r="M10" i="326" s="1"/>
  <c r="C11" i="326"/>
  <c r="D11" i="326" s="1"/>
  <c r="E11" i="326" s="1"/>
  <c r="F11" i="326" s="1"/>
  <c r="G11" i="326" s="1"/>
  <c r="H11" i="326" s="1"/>
  <c r="I11" i="326" s="1"/>
  <c r="J11" i="326" s="1"/>
  <c r="K11" i="326" s="1"/>
  <c r="L11" i="326" s="1"/>
  <c r="M11" i="326" s="1"/>
  <c r="C12" i="326"/>
  <c r="D12" i="326" s="1"/>
  <c r="E12" i="326" s="1"/>
  <c r="F12" i="326" s="1"/>
  <c r="C13" i="326"/>
  <c r="D13" i="326" s="1"/>
  <c r="E13" i="326" s="1"/>
  <c r="F13" i="326" s="1"/>
  <c r="G13" i="326" s="1"/>
  <c r="C14" i="326"/>
  <c r="D14" i="326" s="1"/>
  <c r="E14" i="326" s="1"/>
  <c r="F14" i="326" s="1"/>
  <c r="G14" i="326" s="1"/>
  <c r="H14" i="326" s="1"/>
  <c r="I14" i="326" s="1"/>
  <c r="J14" i="326" s="1"/>
  <c r="K14" i="326" s="1"/>
  <c r="L14" i="326" s="1"/>
  <c r="M14" i="326" s="1"/>
  <c r="C15" i="326"/>
  <c r="D15" i="326" s="1"/>
  <c r="E15" i="326" s="1"/>
  <c r="F15" i="326" s="1"/>
  <c r="G15" i="326" s="1"/>
  <c r="H15" i="326" s="1"/>
  <c r="I15" i="326" s="1"/>
  <c r="J15" i="326" s="1"/>
  <c r="K15" i="326" s="1"/>
  <c r="L15" i="326" s="1"/>
  <c r="M15" i="326" s="1"/>
  <c r="C16" i="326"/>
  <c r="D16" i="326" s="1"/>
  <c r="N17" i="326"/>
  <c r="E55" i="261" s="1"/>
  <c r="C18" i="326"/>
  <c r="D18" i="326" s="1"/>
  <c r="E18" i="326" s="1"/>
  <c r="F18" i="326" s="1"/>
  <c r="G18" i="326" s="1"/>
  <c r="H18" i="326" s="1"/>
  <c r="I18" i="326" s="1"/>
  <c r="J18" i="326" s="1"/>
  <c r="K18" i="326" s="1"/>
  <c r="L18" i="326" s="1"/>
  <c r="M18" i="326" s="1"/>
  <c r="C19" i="326"/>
  <c r="D19" i="326" s="1"/>
  <c r="C20" i="326"/>
  <c r="A2" i="325"/>
  <c r="A1" i="326" s="1"/>
  <c r="A2" i="261" s="1"/>
  <c r="A1" i="30" s="1"/>
  <c r="A1" i="227" s="1"/>
  <c r="C9" i="325"/>
  <c r="D9" i="325" s="1"/>
  <c r="C10" i="325"/>
  <c r="D10" i="325" s="1"/>
  <c r="E10" i="325" s="1"/>
  <c r="F10" i="325" s="1"/>
  <c r="G10" i="325" s="1"/>
  <c r="H10" i="325" s="1"/>
  <c r="I10" i="325" s="1"/>
  <c r="J10" i="325" s="1"/>
  <c r="K10" i="325" s="1"/>
  <c r="L10" i="325" s="1"/>
  <c r="M10" i="325" s="1"/>
  <c r="N10" i="325" s="1"/>
  <c r="C11" i="325"/>
  <c r="D11" i="325" s="1"/>
  <c r="C12" i="325"/>
  <c r="D12" i="325" s="1"/>
  <c r="E12" i="325" s="1"/>
  <c r="F12" i="325" s="1"/>
  <c r="G12" i="325" s="1"/>
  <c r="H12" i="325" s="1"/>
  <c r="I12" i="325" s="1"/>
  <c r="J12" i="325" s="1"/>
  <c r="K12" i="325" s="1"/>
  <c r="L12" i="325" s="1"/>
  <c r="M12" i="325" s="1"/>
  <c r="N12" i="325" s="1"/>
  <c r="C13" i="325"/>
  <c r="D13" i="325" s="1"/>
  <c r="E13" i="325" s="1"/>
  <c r="C14" i="325"/>
  <c r="D14" i="325" s="1"/>
  <c r="E14" i="325" s="1"/>
  <c r="F14" i="325" s="1"/>
  <c r="G14" i="325" s="1"/>
  <c r="H14" i="325" s="1"/>
  <c r="I14" i="325" s="1"/>
  <c r="J14" i="325" s="1"/>
  <c r="K14" i="325" s="1"/>
  <c r="L14" i="325" s="1"/>
  <c r="M14" i="325" s="1"/>
  <c r="N14" i="325" s="1"/>
  <c r="A18" i="325"/>
  <c r="A19" i="325"/>
  <c r="A20" i="325"/>
  <c r="A21" i="325"/>
  <c r="A22" i="325"/>
  <c r="A23" i="325"/>
  <c r="C9" i="324"/>
  <c r="D9" i="324"/>
  <c r="E9" i="324"/>
  <c r="F9" i="324"/>
  <c r="G9" i="324"/>
  <c r="H9" i="324"/>
  <c r="I9" i="324"/>
  <c r="J9" i="324"/>
  <c r="K9" i="324"/>
  <c r="L9" i="324"/>
  <c r="M9" i="324"/>
  <c r="N9" i="324"/>
  <c r="C10" i="324"/>
  <c r="D10" i="324"/>
  <c r="E10" i="324"/>
  <c r="F10" i="324"/>
  <c r="G10" i="324"/>
  <c r="H10" i="324"/>
  <c r="I10" i="324"/>
  <c r="J10" i="324"/>
  <c r="K10" i="324"/>
  <c r="L10" i="324"/>
  <c r="M10" i="324"/>
  <c r="N10" i="324"/>
  <c r="C11" i="324"/>
  <c r="D11" i="324"/>
  <c r="E11" i="324"/>
  <c r="F11" i="324"/>
  <c r="G11" i="324"/>
  <c r="H11" i="324"/>
  <c r="I11" i="324"/>
  <c r="J11" i="324"/>
  <c r="K11" i="324"/>
  <c r="L11" i="324"/>
  <c r="M11" i="324"/>
  <c r="N11" i="324"/>
  <c r="C12" i="324"/>
  <c r="D12" i="324"/>
  <c r="E12" i="324"/>
  <c r="F12" i="324"/>
  <c r="G12" i="324"/>
  <c r="H12" i="324"/>
  <c r="I12" i="324"/>
  <c r="J12" i="324"/>
  <c r="K12" i="324"/>
  <c r="L12" i="324"/>
  <c r="M12" i="324"/>
  <c r="N12" i="324"/>
  <c r="C13" i="324"/>
  <c r="D13" i="324"/>
  <c r="E13" i="324"/>
  <c r="F13" i="324"/>
  <c r="G13" i="324"/>
  <c r="H13" i="324"/>
  <c r="I13" i="324"/>
  <c r="J13" i="324"/>
  <c r="K13" i="324"/>
  <c r="L13" i="324"/>
  <c r="M13" i="324"/>
  <c r="N13" i="324"/>
  <c r="C14" i="324"/>
  <c r="D14" i="324"/>
  <c r="E14" i="324"/>
  <c r="F14" i="324"/>
  <c r="G14" i="324"/>
  <c r="H14" i="324"/>
  <c r="I14" i="324"/>
  <c r="J14" i="324"/>
  <c r="K14" i="324"/>
  <c r="L14" i="324"/>
  <c r="M14" i="324"/>
  <c r="N14" i="324"/>
  <c r="C15" i="324"/>
  <c r="D15" i="324"/>
  <c r="E15" i="324"/>
  <c r="F15" i="324"/>
  <c r="G15" i="324"/>
  <c r="H15" i="324"/>
  <c r="I15" i="324"/>
  <c r="J15" i="324"/>
  <c r="K15" i="324"/>
  <c r="L15" i="324"/>
  <c r="M15" i="324"/>
  <c r="N15" i="324"/>
  <c r="C16" i="324"/>
  <c r="D16" i="324"/>
  <c r="E16" i="324"/>
  <c r="F16" i="324"/>
  <c r="G16" i="324"/>
  <c r="H16" i="324"/>
  <c r="I16" i="324"/>
  <c r="J16" i="324"/>
  <c r="K16" i="324"/>
  <c r="L16" i="324"/>
  <c r="M16" i="324"/>
  <c r="N16" i="324"/>
  <c r="C17" i="324"/>
  <c r="D17" i="324"/>
  <c r="E17" i="324"/>
  <c r="F17" i="324"/>
  <c r="G17" i="324"/>
  <c r="H17" i="324"/>
  <c r="I17" i="324"/>
  <c r="J17" i="324"/>
  <c r="K17" i="324"/>
  <c r="L17" i="324"/>
  <c r="M17" i="324"/>
  <c r="N17" i="324"/>
  <c r="C18" i="324"/>
  <c r="D18" i="324"/>
  <c r="E18" i="324"/>
  <c r="F18" i="324"/>
  <c r="G18" i="324"/>
  <c r="H18" i="324"/>
  <c r="I18" i="324"/>
  <c r="J18" i="324"/>
  <c r="K18" i="324"/>
  <c r="L18" i="324"/>
  <c r="M18" i="324"/>
  <c r="N18" i="324"/>
  <c r="C19" i="324"/>
  <c r="D19" i="324"/>
  <c r="E19" i="324"/>
  <c r="F19" i="324"/>
  <c r="G19" i="324"/>
  <c r="H19" i="324"/>
  <c r="I19" i="324"/>
  <c r="J19" i="324"/>
  <c r="K19" i="324"/>
  <c r="L19" i="324"/>
  <c r="M19" i="324"/>
  <c r="N19" i="324"/>
  <c r="C20" i="324"/>
  <c r="D20" i="324"/>
  <c r="E20" i="324"/>
  <c r="F20" i="324"/>
  <c r="G20" i="324"/>
  <c r="H20" i="324"/>
  <c r="I20" i="324"/>
  <c r="J20" i="324"/>
  <c r="K20" i="324"/>
  <c r="L20" i="324"/>
  <c r="M20" i="324"/>
  <c r="N20" i="324"/>
  <c r="A27" i="324"/>
  <c r="A2" i="128"/>
  <c r="A14" i="128"/>
  <c r="A22" i="128" s="1"/>
  <c r="A30" i="128" s="1"/>
  <c r="A38" i="128" s="1"/>
  <c r="A46" i="128" s="1"/>
  <c r="A54" i="128" s="1"/>
  <c r="A62" i="128" s="1"/>
  <c r="A15" i="128"/>
  <c r="A23" i="128" s="1"/>
  <c r="A31" i="128" s="1"/>
  <c r="A39" i="128" s="1"/>
  <c r="A47" i="128" s="1"/>
  <c r="A55" i="128" s="1"/>
  <c r="A63" i="128" s="1"/>
  <c r="A16" i="128"/>
  <c r="A24" i="128" s="1"/>
  <c r="A32" i="128" s="1"/>
  <c r="A40" i="128" s="1"/>
  <c r="A48" i="128" s="1"/>
  <c r="A56" i="128" s="1"/>
  <c r="A17" i="128"/>
  <c r="A25" i="128" s="1"/>
  <c r="A33" i="128" s="1"/>
  <c r="A41" i="128" s="1"/>
  <c r="A49" i="128" s="1"/>
  <c r="C55" i="128"/>
  <c r="C56" i="128"/>
  <c r="E56" i="128" s="1"/>
  <c r="G56" i="128" s="1"/>
  <c r="C63" i="128"/>
  <c r="E63" i="128" s="1"/>
  <c r="G63" i="128" s="1"/>
  <c r="A2" i="339"/>
  <c r="B10" i="339"/>
  <c r="B28" i="339" s="1"/>
  <c r="B49" i="339" s="1"/>
  <c r="B11" i="339"/>
  <c r="B29" i="339" s="1"/>
  <c r="B50" i="339" s="1"/>
  <c r="B12" i="339"/>
  <c r="B30" i="339" s="1"/>
  <c r="B51" i="339" s="1"/>
  <c r="B13" i="339"/>
  <c r="B31" i="339" s="1"/>
  <c r="B52" i="339" s="1"/>
  <c r="B14" i="339"/>
  <c r="B32" i="339" s="1"/>
  <c r="B53" i="339" s="1"/>
  <c r="B15" i="339"/>
  <c r="B33" i="339" s="1"/>
  <c r="B54" i="339" s="1"/>
  <c r="B16" i="339"/>
  <c r="B34" i="339" s="1"/>
  <c r="B55" i="339" s="1"/>
  <c r="B17" i="339"/>
  <c r="B35" i="339" s="1"/>
  <c r="B56" i="339" s="1"/>
  <c r="B18" i="339"/>
  <c r="B36" i="339" s="1"/>
  <c r="B57" i="339" s="1"/>
  <c r="B19" i="339"/>
  <c r="B37" i="339" s="1"/>
  <c r="B58" i="339" s="1"/>
  <c r="B20" i="339"/>
  <c r="B38" i="339" s="1"/>
  <c r="B59" i="339" s="1"/>
  <c r="B21" i="339"/>
  <c r="B39" i="339" s="1"/>
  <c r="B60" i="339" s="1"/>
  <c r="C27" i="339"/>
  <c r="C48" i="339" s="1"/>
  <c r="D27" i="339"/>
  <c r="D48" i="339"/>
  <c r="E27" i="339"/>
  <c r="F27" i="339"/>
  <c r="F48" i="339" s="1"/>
  <c r="G27" i="339"/>
  <c r="G48" i="339" s="1"/>
  <c r="I27" i="339"/>
  <c r="I48" i="339" s="1"/>
  <c r="J27" i="339"/>
  <c r="J48" i="339" s="1"/>
  <c r="G49" i="339"/>
  <c r="I28" i="339"/>
  <c r="I49" i="339" s="1"/>
  <c r="I29" i="339"/>
  <c r="I50" i="339" s="1"/>
  <c r="G51" i="339"/>
  <c r="I30" i="339"/>
  <c r="I51" i="339" s="1"/>
  <c r="C24" i="128" s="1"/>
  <c r="G52" i="339"/>
  <c r="I31" i="339"/>
  <c r="I52" i="339" s="1"/>
  <c r="G53" i="339"/>
  <c r="I32" i="339"/>
  <c r="I53" i="339" s="1"/>
  <c r="G54" i="339"/>
  <c r="I33" i="339"/>
  <c r="I54" i="339" s="1"/>
  <c r="G55" i="339"/>
  <c r="I34" i="339"/>
  <c r="I55" i="339" s="1"/>
  <c r="G56" i="339"/>
  <c r="I35" i="339"/>
  <c r="I56" i="339" s="1"/>
  <c r="A36" i="339"/>
  <c r="G36" i="339"/>
  <c r="I36" i="339"/>
  <c r="I57" i="339" s="1"/>
  <c r="A37" i="339"/>
  <c r="G37" i="339"/>
  <c r="G58" i="339" s="1"/>
  <c r="I37" i="339"/>
  <c r="I58" i="339" s="1"/>
  <c r="C32" i="128" s="1"/>
  <c r="A38" i="339"/>
  <c r="G38" i="339"/>
  <c r="G59" i="339" s="1"/>
  <c r="I38" i="339"/>
  <c r="I59" i="339" s="1"/>
  <c r="C40" i="128" s="1"/>
  <c r="A39" i="339"/>
  <c r="B48" i="339"/>
  <c r="E48" i="339"/>
  <c r="D49" i="339"/>
  <c r="E49" i="339"/>
  <c r="F49" i="339"/>
  <c r="J49" i="339"/>
  <c r="C9" i="128" s="1"/>
  <c r="L49" i="339"/>
  <c r="C50" i="339"/>
  <c r="D50" i="339"/>
  <c r="E50" i="339"/>
  <c r="F50" i="339"/>
  <c r="G50" i="339"/>
  <c r="J50" i="339"/>
  <c r="C17" i="128" s="1"/>
  <c r="L50" i="339"/>
  <c r="C51" i="339"/>
  <c r="H51" i="339" s="1"/>
  <c r="D51" i="339"/>
  <c r="E51" i="339"/>
  <c r="F51" i="339"/>
  <c r="J51" i="339"/>
  <c r="C25" i="128"/>
  <c r="L51" i="339"/>
  <c r="C52" i="339"/>
  <c r="H52" i="339" s="1"/>
  <c r="D52" i="339"/>
  <c r="E52" i="339"/>
  <c r="F52" i="339"/>
  <c r="J52" i="339"/>
  <c r="L52" i="339"/>
  <c r="C53" i="339"/>
  <c r="H53" i="339" s="1"/>
  <c r="D53" i="339"/>
  <c r="E53" i="339"/>
  <c r="F53" i="339"/>
  <c r="J53" i="339"/>
  <c r="L53" i="339"/>
  <c r="C54" i="339"/>
  <c r="H54" i="339" s="1"/>
  <c r="D54" i="339"/>
  <c r="E54" i="339"/>
  <c r="F54" i="339"/>
  <c r="J54" i="339"/>
  <c r="L54" i="339"/>
  <c r="C55" i="339"/>
  <c r="H55" i="339" s="1"/>
  <c r="D55" i="339"/>
  <c r="E55" i="339"/>
  <c r="F55" i="339"/>
  <c r="L55" i="339"/>
  <c r="C56" i="339"/>
  <c r="D56" i="339"/>
  <c r="E56" i="339"/>
  <c r="F56" i="339"/>
  <c r="L56" i="339"/>
  <c r="A57" i="339"/>
  <c r="A66" i="128" s="1"/>
  <c r="C57" i="339"/>
  <c r="D57" i="339"/>
  <c r="E57" i="339"/>
  <c r="F57" i="339"/>
  <c r="G57" i="339"/>
  <c r="L57" i="339"/>
  <c r="A58" i="339"/>
  <c r="A74" i="128" s="1"/>
  <c r="C58" i="339"/>
  <c r="D58" i="339"/>
  <c r="E58" i="339"/>
  <c r="F58" i="339"/>
  <c r="J58" i="339"/>
  <c r="C33" i="128" s="1"/>
  <c r="E33" i="128" s="1"/>
  <c r="G33" i="128" s="1"/>
  <c r="L58" i="339"/>
  <c r="A59" i="339"/>
  <c r="A81" i="128" s="1"/>
  <c r="C59" i="339"/>
  <c r="D59" i="339"/>
  <c r="E59" i="339"/>
  <c r="F59" i="339"/>
  <c r="J59" i="339"/>
  <c r="C41" i="128" s="1"/>
  <c r="L59" i="339"/>
  <c r="A60" i="339"/>
  <c r="C60" i="339"/>
  <c r="D60" i="339"/>
  <c r="E60" i="339"/>
  <c r="F60" i="339"/>
  <c r="G60" i="339"/>
  <c r="H60" i="339"/>
  <c r="K60" i="339" s="1"/>
  <c r="I60" i="339"/>
  <c r="C48" i="128" s="1"/>
  <c r="J60" i="339"/>
  <c r="C49" i="128"/>
  <c r="E49" i="128"/>
  <c r="G49" i="128" s="1"/>
  <c r="L60" i="339"/>
  <c r="C23" i="327"/>
  <c r="B29" i="327"/>
  <c r="B49" i="327"/>
  <c r="B69" i="327" s="1"/>
  <c r="B91" i="327" s="1"/>
  <c r="B51" i="327"/>
  <c r="B74" i="327" s="1"/>
  <c r="B96" i="327" s="1"/>
  <c r="O31" i="327"/>
  <c r="E11" i="327" s="1"/>
  <c r="B52" i="327"/>
  <c r="B75" i="327" s="1"/>
  <c r="B97" i="327" s="1"/>
  <c r="O32" i="327"/>
  <c r="P32" i="327" s="1"/>
  <c r="D12" i="327" s="1"/>
  <c r="B53" i="327"/>
  <c r="B76" i="327" s="1"/>
  <c r="B98" i="327" s="1"/>
  <c r="O33" i="327"/>
  <c r="E13" i="327" s="1"/>
  <c r="B54" i="327"/>
  <c r="B77" i="327" s="1"/>
  <c r="B99" i="327" s="1"/>
  <c r="O34" i="327"/>
  <c r="P34" i="327" s="1"/>
  <c r="D14" i="327" s="1"/>
  <c r="B55" i="327"/>
  <c r="B78" i="327" s="1"/>
  <c r="B100" i="327" s="1"/>
  <c r="O35" i="327"/>
  <c r="P35" i="327" s="1"/>
  <c r="B56" i="327"/>
  <c r="B79" i="327" s="1"/>
  <c r="B101" i="327" s="1"/>
  <c r="O36" i="327"/>
  <c r="B57" i="327"/>
  <c r="B80" i="327" s="1"/>
  <c r="B102" i="327" s="1"/>
  <c r="O37" i="327"/>
  <c r="P37" i="327" s="1"/>
  <c r="B58" i="327"/>
  <c r="B81" i="327" s="1"/>
  <c r="B103" i="327" s="1"/>
  <c r="O38" i="327"/>
  <c r="O58" i="327" s="1"/>
  <c r="P58" i="327" s="1"/>
  <c r="B59" i="327"/>
  <c r="B82" i="327" s="1"/>
  <c r="B104" i="327" s="1"/>
  <c r="O39" i="327"/>
  <c r="E19" i="327" s="1"/>
  <c r="B60" i="327"/>
  <c r="B83" i="327" s="1"/>
  <c r="B105" i="327" s="1"/>
  <c r="O40" i="327"/>
  <c r="C83" i="327" s="1"/>
  <c r="A41" i="327"/>
  <c r="B41" i="327"/>
  <c r="B61" i="327" s="1"/>
  <c r="B84" i="327" s="1"/>
  <c r="B106" i="327" s="1"/>
  <c r="O41" i="327"/>
  <c r="A42" i="327"/>
  <c r="B42" i="327"/>
  <c r="O42" i="327"/>
  <c r="E22" i="327" s="1"/>
  <c r="D43" i="327"/>
  <c r="E43" i="327"/>
  <c r="F43" i="327"/>
  <c r="G43" i="327"/>
  <c r="H43" i="327"/>
  <c r="I43" i="327"/>
  <c r="J43" i="327"/>
  <c r="K43" i="327"/>
  <c r="L43" i="327"/>
  <c r="M43" i="327"/>
  <c r="N43" i="327"/>
  <c r="C51" i="327"/>
  <c r="D51" i="327"/>
  <c r="E51" i="327"/>
  <c r="F51" i="327"/>
  <c r="G51" i="327"/>
  <c r="H51" i="327"/>
  <c r="I51" i="327"/>
  <c r="J51" i="327"/>
  <c r="K51" i="327"/>
  <c r="L51" i="327"/>
  <c r="M51" i="327"/>
  <c r="A75" i="327"/>
  <c r="A97" i="327" s="1"/>
  <c r="C52" i="327"/>
  <c r="D52" i="327"/>
  <c r="E52" i="327"/>
  <c r="F52" i="327"/>
  <c r="G52" i="327"/>
  <c r="H52" i="327"/>
  <c r="I52" i="327"/>
  <c r="J52" i="327"/>
  <c r="K52" i="327"/>
  <c r="L52" i="327"/>
  <c r="M52" i="327"/>
  <c r="N52" i="327"/>
  <c r="A76" i="327"/>
  <c r="A98" i="327" s="1"/>
  <c r="C53" i="327"/>
  <c r="D53" i="327"/>
  <c r="E53" i="327"/>
  <c r="F53" i="327"/>
  <c r="G53" i="327"/>
  <c r="H53" i="327"/>
  <c r="I53" i="327"/>
  <c r="J53" i="327"/>
  <c r="K53" i="327"/>
  <c r="L53" i="327"/>
  <c r="M53" i="327"/>
  <c r="N53" i="327"/>
  <c r="A77" i="327"/>
  <c r="A99" i="327" s="1"/>
  <c r="C54" i="327"/>
  <c r="D54" i="327"/>
  <c r="E54" i="327"/>
  <c r="F54" i="327"/>
  <c r="G54" i="327"/>
  <c r="H54" i="327"/>
  <c r="I54" i="327"/>
  <c r="J54" i="327"/>
  <c r="K54" i="327"/>
  <c r="L54" i="327"/>
  <c r="M54" i="327"/>
  <c r="N54" i="327"/>
  <c r="C55" i="327"/>
  <c r="D55" i="327"/>
  <c r="E55" i="327"/>
  <c r="F55" i="327"/>
  <c r="G55" i="327"/>
  <c r="H55" i="327"/>
  <c r="I55" i="327"/>
  <c r="J55" i="327"/>
  <c r="K55" i="327"/>
  <c r="L55" i="327"/>
  <c r="M55" i="327"/>
  <c r="N55" i="327"/>
  <c r="C56" i="327"/>
  <c r="D56" i="327"/>
  <c r="E56" i="327"/>
  <c r="F56" i="327"/>
  <c r="G56" i="327"/>
  <c r="H56" i="327"/>
  <c r="I56" i="327"/>
  <c r="J56" i="327"/>
  <c r="K56" i="327"/>
  <c r="L56" i="327"/>
  <c r="M56" i="327"/>
  <c r="N56" i="327"/>
  <c r="A80" i="327"/>
  <c r="A102" i="327" s="1"/>
  <c r="C57" i="327"/>
  <c r="D57" i="327"/>
  <c r="E57" i="327"/>
  <c r="F57" i="327"/>
  <c r="G57" i="327"/>
  <c r="H57" i="327"/>
  <c r="I57" i="327"/>
  <c r="J57" i="327"/>
  <c r="K57" i="327"/>
  <c r="L57" i="327"/>
  <c r="M57" i="327"/>
  <c r="N57" i="327"/>
  <c r="A81" i="327"/>
  <c r="A103" i="327" s="1"/>
  <c r="A125" i="327" s="1"/>
  <c r="C58" i="327"/>
  <c r="D58" i="327"/>
  <c r="E58" i="327"/>
  <c r="F58" i="327"/>
  <c r="G58" i="327"/>
  <c r="H58" i="327"/>
  <c r="I58" i="327"/>
  <c r="J58" i="327"/>
  <c r="K58" i="327"/>
  <c r="L58" i="327"/>
  <c r="M58" i="327"/>
  <c r="N58" i="327"/>
  <c r="A59" i="327"/>
  <c r="A82" i="327" s="1"/>
  <c r="A104" i="327" s="1"/>
  <c r="C59" i="327"/>
  <c r="D59" i="327"/>
  <c r="E59" i="327"/>
  <c r="F59" i="327"/>
  <c r="G59" i="327"/>
  <c r="H59" i="327"/>
  <c r="I59" i="327"/>
  <c r="J59" i="327"/>
  <c r="K59" i="327"/>
  <c r="L59" i="327"/>
  <c r="M59" i="327"/>
  <c r="N59" i="327"/>
  <c r="A60" i="327"/>
  <c r="A83" i="327" s="1"/>
  <c r="A105" i="327" s="1"/>
  <c r="C60" i="327"/>
  <c r="D60" i="327"/>
  <c r="E60" i="327"/>
  <c r="F60" i="327"/>
  <c r="G60" i="327"/>
  <c r="H60" i="327"/>
  <c r="I60" i="327"/>
  <c r="J60" i="327"/>
  <c r="K60" i="327"/>
  <c r="L60" i="327"/>
  <c r="M60" i="327"/>
  <c r="N60" i="327"/>
  <c r="A61" i="327"/>
  <c r="A84" i="327" s="1"/>
  <c r="A106" i="327" s="1"/>
  <c r="C61" i="327"/>
  <c r="D61" i="327"/>
  <c r="E61" i="327"/>
  <c r="F61" i="327"/>
  <c r="G61" i="327"/>
  <c r="H61" i="327"/>
  <c r="I61" i="327"/>
  <c r="J61" i="327"/>
  <c r="K61" i="327"/>
  <c r="L61" i="327"/>
  <c r="M61" i="327"/>
  <c r="N61" i="327"/>
  <c r="A62" i="327"/>
  <c r="A85" i="327" s="1"/>
  <c r="A107" i="327" s="1"/>
  <c r="B62" i="327"/>
  <c r="B85" i="327" s="1"/>
  <c r="B107" i="327" s="1"/>
  <c r="C62" i="327"/>
  <c r="D62" i="327"/>
  <c r="E62" i="327"/>
  <c r="F62" i="327"/>
  <c r="G62" i="327"/>
  <c r="H62" i="327"/>
  <c r="I62" i="327"/>
  <c r="J62" i="327"/>
  <c r="K62" i="327"/>
  <c r="L62" i="327"/>
  <c r="M62" i="327"/>
  <c r="N62" i="327"/>
  <c r="D72" i="327"/>
  <c r="E72" i="327" s="1"/>
  <c r="D94" i="327"/>
  <c r="E94" i="327" s="1"/>
  <c r="F94" i="327" s="1"/>
  <c r="G94" i="327" s="1"/>
  <c r="B1" i="204"/>
  <c r="G6" i="204"/>
  <c r="J49" i="204"/>
  <c r="D13" i="31" s="1"/>
  <c r="K49" i="204"/>
  <c r="E25" i="250" s="1"/>
  <c r="A1" i="203"/>
  <c r="A18" i="203"/>
  <c r="A19" i="203"/>
  <c r="D15" i="124"/>
  <c r="B11" i="203" s="1"/>
  <c r="B13" i="227" s="1"/>
  <c r="D13" i="124"/>
  <c r="D14" i="124"/>
  <c r="D18" i="124"/>
  <c r="D19" i="124"/>
  <c r="D22" i="124"/>
  <c r="D26" i="124"/>
  <c r="D27" i="124"/>
  <c r="D28" i="124"/>
  <c r="D29" i="124"/>
  <c r="D30" i="124"/>
  <c r="D31" i="124"/>
  <c r="D32" i="124"/>
  <c r="D33" i="124"/>
  <c r="D34" i="124"/>
  <c r="D35" i="124"/>
  <c r="D38" i="124"/>
  <c r="D39" i="124" s="1"/>
  <c r="B10" i="203" s="1"/>
  <c r="B12" i="227" s="1"/>
  <c r="D42" i="124"/>
  <c r="B13" i="203" s="1"/>
  <c r="D48" i="124"/>
  <c r="D15" i="322" s="1"/>
  <c r="D53" i="124"/>
  <c r="D55" i="124"/>
  <c r="D56" i="124"/>
  <c r="B19" i="203" s="1"/>
  <c r="C75" i="124"/>
  <c r="B7" i="30"/>
  <c r="G7" i="204"/>
  <c r="G8" i="204" s="1"/>
  <c r="G9" i="204" s="1"/>
  <c r="B25" i="203"/>
  <c r="C26" i="203" s="1"/>
  <c r="B10" i="250" s="1"/>
  <c r="F13" i="325"/>
  <c r="G13" i="325" s="1"/>
  <c r="H13" i="325" s="1"/>
  <c r="I13" i="325" s="1"/>
  <c r="J13" i="325" s="1"/>
  <c r="K13" i="325" s="1"/>
  <c r="L13" i="325" s="1"/>
  <c r="M13" i="325" s="1"/>
  <c r="N13" i="325" s="1"/>
  <c r="C81" i="327"/>
  <c r="E18" i="261" s="1"/>
  <c r="E36" i="261" s="1"/>
  <c r="P38" i="327"/>
  <c r="C18" i="261" s="1"/>
  <c r="B106" i="261"/>
  <c r="B126" i="261"/>
  <c r="B123" i="261"/>
  <c r="B82" i="261"/>
  <c r="B81" i="261"/>
  <c r="B100" i="261"/>
  <c r="B18" i="203"/>
  <c r="D2" i="322"/>
  <c r="C7" i="322" s="1"/>
  <c r="C8" i="322" s="1"/>
  <c r="C10" i="322" s="1"/>
  <c r="D6" i="322" s="1"/>
  <c r="P31" i="327" l="1"/>
  <c r="B6" i="128" s="1"/>
  <c r="O59" i="327"/>
  <c r="P59" i="327" s="1"/>
  <c r="C82" i="327"/>
  <c r="D82" i="327" s="1"/>
  <c r="E82" i="327" s="1"/>
  <c r="F82" i="327" s="1"/>
  <c r="P39" i="327"/>
  <c r="C19" i="261" s="1"/>
  <c r="C37" i="261" s="1"/>
  <c r="O51" i="327"/>
  <c r="P51" i="327" s="1"/>
  <c r="P40" i="327"/>
  <c r="C20" i="261" s="1"/>
  <c r="C38" i="261" s="1"/>
  <c r="C74" i="327"/>
  <c r="E11" i="261" s="1"/>
  <c r="E29" i="261" s="1"/>
  <c r="C75" i="327"/>
  <c r="E12" i="261" s="1"/>
  <c r="E30" i="261" s="1"/>
  <c r="B96" i="261"/>
  <c r="C76" i="327"/>
  <c r="E13" i="261" s="1"/>
  <c r="F13" i="261" s="1"/>
  <c r="F72" i="327"/>
  <c r="G72" i="327" s="1"/>
  <c r="D116" i="327"/>
  <c r="O62" i="327"/>
  <c r="H57" i="339"/>
  <c r="K57" i="339" s="1"/>
  <c r="H50" i="339"/>
  <c r="H58" i="339"/>
  <c r="K58" i="339" s="1"/>
  <c r="C77" i="128" s="1"/>
  <c r="O12" i="325"/>
  <c r="H56" i="339"/>
  <c r="J63" i="327"/>
  <c r="J8" i="30" s="1"/>
  <c r="J9" i="30" s="1"/>
  <c r="P42" i="327"/>
  <c r="C85" i="327"/>
  <c r="E22" i="261" s="1"/>
  <c r="E40" i="261" s="1"/>
  <c r="C104" i="128"/>
  <c r="H49" i="339"/>
  <c r="O124" i="30"/>
  <c r="F13" i="31" s="1"/>
  <c r="O123" i="30"/>
  <c r="O71" i="30"/>
  <c r="N13" i="326"/>
  <c r="O72" i="30"/>
  <c r="E11" i="325"/>
  <c r="F11" i="325" s="1"/>
  <c r="G11" i="325" s="1"/>
  <c r="H11" i="325" s="1"/>
  <c r="I11" i="325" s="1"/>
  <c r="J11" i="325" s="1"/>
  <c r="K11" i="325" s="1"/>
  <c r="L11" i="325" s="1"/>
  <c r="M11" i="325" s="1"/>
  <c r="N11" i="325" s="1"/>
  <c r="K50" i="339"/>
  <c r="E16" i="326"/>
  <c r="F16" i="326" s="1"/>
  <c r="G16" i="326" s="1"/>
  <c r="H16" i="326" s="1"/>
  <c r="I16" i="326" s="1"/>
  <c r="J16" i="326" s="1"/>
  <c r="K16" i="326" s="1"/>
  <c r="L16" i="326" s="1"/>
  <c r="M16" i="326" s="1"/>
  <c r="K49" i="339"/>
  <c r="O10" i="325"/>
  <c r="O61" i="327"/>
  <c r="P61" i="327" s="1"/>
  <c r="C84" i="327"/>
  <c r="D84" i="327" s="1"/>
  <c r="E84" i="327" s="1"/>
  <c r="F84" i="327" s="1"/>
  <c r="C79" i="327"/>
  <c r="E16" i="261" s="1"/>
  <c r="F16" i="261" s="1"/>
  <c r="P36" i="327"/>
  <c r="O56" i="327"/>
  <c r="P56" i="327" s="1"/>
  <c r="E16" i="327"/>
  <c r="N14" i="326"/>
  <c r="E52" i="261" s="1"/>
  <c r="E9" i="325"/>
  <c r="D15" i="325"/>
  <c r="E24" i="250"/>
  <c r="M11" i="250" s="1"/>
  <c r="K25" i="250"/>
  <c r="K23" i="250"/>
  <c r="K24" i="250"/>
  <c r="K27" i="250"/>
  <c r="D4" i="190"/>
  <c r="D5" i="190" s="1"/>
  <c r="D6" i="190" s="1"/>
  <c r="D7" i="190" s="1"/>
  <c r="D8" i="190" s="1"/>
  <c r="D9" i="190" s="1"/>
  <c r="D11" i="190" s="1"/>
  <c r="K26" i="250"/>
  <c r="E19" i="326"/>
  <c r="F19" i="326" s="1"/>
  <c r="G19" i="326" s="1"/>
  <c r="H19" i="326" s="1"/>
  <c r="I19" i="326" s="1"/>
  <c r="J19" i="326" s="1"/>
  <c r="K19" i="326" s="1"/>
  <c r="L19" i="326" s="1"/>
  <c r="M19" i="326" s="1"/>
  <c r="G12" i="326"/>
  <c r="H12" i="326" s="1"/>
  <c r="I12" i="326" s="1"/>
  <c r="J12" i="326" s="1"/>
  <c r="K12" i="326" s="1"/>
  <c r="L12" i="326" s="1"/>
  <c r="M12" i="326" s="1"/>
  <c r="E19" i="261"/>
  <c r="E37" i="261" s="1"/>
  <c r="O14" i="325"/>
  <c r="B40" i="261"/>
  <c r="C91" i="128"/>
  <c r="E90" i="128" s="1"/>
  <c r="G91" i="128" s="1"/>
  <c r="G93" i="128" s="1"/>
  <c r="B41" i="324"/>
  <c r="L41" i="324" s="1"/>
  <c r="N15" i="326"/>
  <c r="E53" i="261" s="1"/>
  <c r="G41" i="324"/>
  <c r="N11" i="326"/>
  <c r="E49" i="261" s="1"/>
  <c r="B107" i="261"/>
  <c r="O13" i="325"/>
  <c r="B105" i="261"/>
  <c r="K54" i="339"/>
  <c r="C47" i="128" s="1"/>
  <c r="N18" i="326"/>
  <c r="E56" i="261" s="1"/>
  <c r="E116" i="327"/>
  <c r="E51" i="261"/>
  <c r="B87" i="261"/>
  <c r="B120" i="261"/>
  <c r="N10" i="326"/>
  <c r="E48" i="261" s="1"/>
  <c r="O53" i="327"/>
  <c r="P53" i="327" s="1"/>
  <c r="C15" i="325"/>
  <c r="E9" i="128"/>
  <c r="G9" i="128" s="1"/>
  <c r="B79" i="261"/>
  <c r="O55" i="327"/>
  <c r="P55" i="327" s="1"/>
  <c r="D57" i="124"/>
  <c r="B23" i="250" s="1"/>
  <c r="D20" i="326"/>
  <c r="E20" i="326" s="1"/>
  <c r="F20" i="326" s="1"/>
  <c r="G20" i="326" s="1"/>
  <c r="H20" i="326" s="1"/>
  <c r="I20" i="326" s="1"/>
  <c r="J20" i="326" s="1"/>
  <c r="K20" i="326" s="1"/>
  <c r="L20" i="326" s="1"/>
  <c r="M20" i="326" s="1"/>
  <c r="H59" i="339"/>
  <c r="K59" i="339" s="1"/>
  <c r="K55" i="339"/>
  <c r="K51" i="339"/>
  <c r="B31" i="261" s="1"/>
  <c r="C119" i="261" s="1"/>
  <c r="D119" i="261" s="1"/>
  <c r="D15" i="327"/>
  <c r="C15" i="261"/>
  <c r="C33" i="261" s="1"/>
  <c r="E15" i="327"/>
  <c r="C78" i="327"/>
  <c r="A124" i="327"/>
  <c r="A16" i="339"/>
  <c r="A34" i="339" s="1"/>
  <c r="A55" i="339" s="1"/>
  <c r="A15" i="324" s="1"/>
  <c r="A36" i="324" s="1"/>
  <c r="E12" i="327"/>
  <c r="E14" i="327"/>
  <c r="D18" i="327"/>
  <c r="E18" i="327"/>
  <c r="D81" i="327"/>
  <c r="E81" i="327" s="1"/>
  <c r="F81" i="327" s="1"/>
  <c r="O60" i="327"/>
  <c r="D17" i="327"/>
  <c r="B53" i="128"/>
  <c r="C17" i="261"/>
  <c r="D17" i="261" s="1"/>
  <c r="C80" i="327"/>
  <c r="E17" i="327"/>
  <c r="O57" i="327"/>
  <c r="B38" i="128"/>
  <c r="H38" i="128" s="1"/>
  <c r="P33" i="327"/>
  <c r="D13" i="327" s="1"/>
  <c r="D76" i="327"/>
  <c r="E76" i="327" s="1"/>
  <c r="C11" i="261"/>
  <c r="C29" i="261" s="1"/>
  <c r="D11" i="327"/>
  <c r="P41" i="327"/>
  <c r="E20" i="261"/>
  <c r="E38" i="261" s="1"/>
  <c r="D83" i="327"/>
  <c r="E83" i="327" s="1"/>
  <c r="F83" i="327" s="1"/>
  <c r="B60" i="128"/>
  <c r="H60" i="128" s="1"/>
  <c r="B46" i="128"/>
  <c r="E48" i="128" s="1"/>
  <c r="G48" i="128" s="1"/>
  <c r="B30" i="128"/>
  <c r="H30" i="128" s="1"/>
  <c r="C14" i="261"/>
  <c r="C32" i="261" s="1"/>
  <c r="O54" i="327"/>
  <c r="C77" i="327"/>
  <c r="O43" i="327"/>
  <c r="P43" i="327" s="1"/>
  <c r="O52" i="327"/>
  <c r="P52" i="327" s="1"/>
  <c r="C12" i="261"/>
  <c r="C30" i="261" s="1"/>
  <c r="B14" i="128"/>
  <c r="H14" i="128" s="1"/>
  <c r="C103" i="327"/>
  <c r="I63" i="327"/>
  <c r="I8" i="30" s="1"/>
  <c r="I9" i="30" s="1"/>
  <c r="E63" i="327"/>
  <c r="E8" i="30" s="1"/>
  <c r="B122" i="261"/>
  <c r="B80" i="261"/>
  <c r="L63" i="327"/>
  <c r="L8" i="30" s="1"/>
  <c r="G63" i="327"/>
  <c r="G8" i="30" s="1"/>
  <c r="G9" i="30" s="1"/>
  <c r="H63" i="327"/>
  <c r="H8" i="30" s="1"/>
  <c r="H35" i="30" s="1"/>
  <c r="H36" i="30" s="1"/>
  <c r="F63" i="327"/>
  <c r="F8" i="30" s="1"/>
  <c r="F35" i="30" s="1"/>
  <c r="F36" i="30" s="1"/>
  <c r="C63" i="327"/>
  <c r="C8" i="30" s="1"/>
  <c r="C9" i="30" s="1"/>
  <c r="D63" i="327"/>
  <c r="D8" i="30" s="1"/>
  <c r="K63" i="327"/>
  <c r="K8" i="30" s="1"/>
  <c r="K9" i="30" s="1"/>
  <c r="N63" i="327"/>
  <c r="N8" i="30" s="1"/>
  <c r="N9" i="30" s="1"/>
  <c r="C96" i="327"/>
  <c r="M63" i="327"/>
  <c r="M8" i="30" s="1"/>
  <c r="B76" i="261"/>
  <c r="B77" i="261"/>
  <c r="K56" i="339"/>
  <c r="B36" i="261" s="1"/>
  <c r="F36" i="261" s="1"/>
  <c r="A18" i="324"/>
  <c r="A39" i="324" s="1"/>
  <c r="A14" i="324"/>
  <c r="A35" i="324" s="1"/>
  <c r="E15" i="128"/>
  <c r="G15" i="128" s="1"/>
  <c r="B125" i="261"/>
  <c r="H6" i="128"/>
  <c r="O16" i="324"/>
  <c r="O15" i="324"/>
  <c r="B97" i="261"/>
  <c r="K53" i="339"/>
  <c r="B34" i="324" s="1"/>
  <c r="G34" i="324" s="1"/>
  <c r="A19" i="324"/>
  <c r="A40" i="324" s="1"/>
  <c r="F12" i="261"/>
  <c r="A17" i="324"/>
  <c r="A38" i="324" s="1"/>
  <c r="B84" i="261"/>
  <c r="B78" i="261"/>
  <c r="A123" i="327"/>
  <c r="F18" i="261"/>
  <c r="B98" i="261"/>
  <c r="A128" i="327"/>
  <c r="A20" i="339"/>
  <c r="A126" i="327"/>
  <c r="A18" i="339"/>
  <c r="B124" i="261"/>
  <c r="B83" i="261"/>
  <c r="B103" i="261"/>
  <c r="D18" i="261"/>
  <c r="A20" i="324"/>
  <c r="A41" i="324" s="1"/>
  <c r="A88" i="128"/>
  <c r="A14" i="339"/>
  <c r="A32" i="339" s="1"/>
  <c r="A53" i="339" s="1"/>
  <c r="A13" i="324" s="1"/>
  <c r="A34" i="324" s="1"/>
  <c r="A122" i="327"/>
  <c r="A21" i="339"/>
  <c r="A129" i="327"/>
  <c r="A17" i="339"/>
  <c r="A35" i="339" s="1"/>
  <c r="A56" i="339" s="1"/>
  <c r="A16" i="324" s="1"/>
  <c r="A37" i="324" s="1"/>
  <c r="B23" i="261"/>
  <c r="B102" i="261"/>
  <c r="C16" i="128"/>
  <c r="O9" i="324"/>
  <c r="A19" i="339"/>
  <c r="A127" i="327"/>
  <c r="C8" i="128"/>
  <c r="O14" i="324"/>
  <c r="O13" i="324"/>
  <c r="O12" i="324"/>
  <c r="O11" i="324"/>
  <c r="K52" i="339"/>
  <c r="O20" i="324"/>
  <c r="O19" i="324"/>
  <c r="O18" i="324"/>
  <c r="O17" i="324"/>
  <c r="C36" i="261"/>
  <c r="O10" i="324"/>
  <c r="B86" i="261"/>
  <c r="B127" i="261"/>
  <c r="A13" i="339"/>
  <c r="A31" i="339" s="1"/>
  <c r="A52" i="339" s="1"/>
  <c r="A29" i="128" s="1"/>
  <c r="A121" i="327"/>
  <c r="A12" i="339"/>
  <c r="A30" i="339" s="1"/>
  <c r="A51" i="339" s="1"/>
  <c r="A21" i="128" s="1"/>
  <c r="A120" i="327"/>
  <c r="A10" i="339"/>
  <c r="A28" i="339" s="1"/>
  <c r="A49" i="339" s="1"/>
  <c r="A9" i="324" s="1"/>
  <c r="A30" i="324" s="1"/>
  <c r="A118" i="327"/>
  <c r="A119" i="327"/>
  <c r="A11" i="339"/>
  <c r="A29" i="339" s="1"/>
  <c r="A50" i="339" s="1"/>
  <c r="A10" i="324" s="1"/>
  <c r="A31" i="324" s="1"/>
  <c r="C12" i="226"/>
  <c r="D12" i="226" s="1"/>
  <c r="E12" i="226" s="1"/>
  <c r="F12" i="226" s="1"/>
  <c r="G12" i="226" s="1"/>
  <c r="C27" i="226"/>
  <c r="D36" i="124"/>
  <c r="B12" i="203" s="1"/>
  <c r="C13" i="226" s="1"/>
  <c r="D13" i="226" s="1"/>
  <c r="E13" i="226" s="1"/>
  <c r="F13" i="226" s="1"/>
  <c r="G13" i="226" s="1"/>
  <c r="B6" i="203"/>
  <c r="B15" i="227"/>
  <c r="C15" i="227" s="1"/>
  <c r="C14" i="226"/>
  <c r="D14" i="226" s="1"/>
  <c r="E14" i="226" s="1"/>
  <c r="F14" i="226" s="1"/>
  <c r="G14" i="226" s="1"/>
  <c r="D43" i="124"/>
  <c r="G26" i="204"/>
  <c r="C45" i="30" s="1"/>
  <c r="G15" i="204"/>
  <c r="D19" i="30" s="1"/>
  <c r="G28" i="204"/>
  <c r="E45" i="30" s="1"/>
  <c r="G32" i="204"/>
  <c r="I45" i="30" s="1"/>
  <c r="G34" i="204"/>
  <c r="K45" i="30" s="1"/>
  <c r="B5" i="203"/>
  <c r="D49" i="124"/>
  <c r="F13" i="227"/>
  <c r="G13" i="227"/>
  <c r="E13" i="227"/>
  <c r="C13" i="227"/>
  <c r="D13" i="227"/>
  <c r="D20" i="322"/>
  <c r="L20" i="322"/>
  <c r="C19" i="322"/>
  <c r="E20" i="322"/>
  <c r="O20" i="322"/>
  <c r="M20" i="322"/>
  <c r="F20" i="322"/>
  <c r="G20" i="322"/>
  <c r="D16" i="322"/>
  <c r="G22" i="322" s="1"/>
  <c r="C20" i="322"/>
  <c r="H20" i="322"/>
  <c r="N20" i="322"/>
  <c r="K20" i="322"/>
  <c r="J20" i="322"/>
  <c r="I20" i="322"/>
  <c r="E14" i="204"/>
  <c r="F14" i="204" s="1"/>
  <c r="C20" i="30" s="1"/>
  <c r="D27" i="226"/>
  <c r="E21" i="226"/>
  <c r="C12" i="227"/>
  <c r="G12" i="227"/>
  <c r="F12" i="227"/>
  <c r="D12" i="227"/>
  <c r="E12" i="227"/>
  <c r="G20" i="204"/>
  <c r="I19" i="30" s="1"/>
  <c r="G37" i="204"/>
  <c r="N45" i="30" s="1"/>
  <c r="G16" i="204"/>
  <c r="E19" i="30" s="1"/>
  <c r="G33" i="204"/>
  <c r="J45" i="30" s="1"/>
  <c r="G18" i="204"/>
  <c r="G19" i="30" s="1"/>
  <c r="G30" i="204"/>
  <c r="G45" i="30" s="1"/>
  <c r="G22" i="204"/>
  <c r="K19" i="30" s="1"/>
  <c r="G35" i="204"/>
  <c r="L45" i="30" s="1"/>
  <c r="G21" i="204"/>
  <c r="J19" i="30" s="1"/>
  <c r="G23" i="204"/>
  <c r="L19" i="30" s="1"/>
  <c r="G17" i="204"/>
  <c r="F19" i="30" s="1"/>
  <c r="G31" i="204"/>
  <c r="H45" i="30" s="1"/>
  <c r="C11" i="226"/>
  <c r="D11" i="226" s="1"/>
  <c r="E11" i="226" s="1"/>
  <c r="F11" i="226" s="1"/>
  <c r="G11" i="226" s="1"/>
  <c r="G24" i="204"/>
  <c r="M19" i="30" s="1"/>
  <c r="G19" i="204"/>
  <c r="H19" i="30" s="1"/>
  <c r="G27" i="204"/>
  <c r="D45" i="30" s="1"/>
  <c r="G14" i="204"/>
  <c r="G29" i="204"/>
  <c r="F45" i="30" s="1"/>
  <c r="G36" i="204"/>
  <c r="M45" i="30" s="1"/>
  <c r="G25" i="204"/>
  <c r="N19" i="30" s="1"/>
  <c r="D23" i="124"/>
  <c r="M35" i="30" l="1"/>
  <c r="D35" i="30"/>
  <c r="D36" i="30" s="1"/>
  <c r="E35" i="30"/>
  <c r="D79" i="327"/>
  <c r="E79" i="327" s="1"/>
  <c r="F79" i="327" s="1"/>
  <c r="F76" i="327"/>
  <c r="D74" i="327"/>
  <c r="E74" i="327" s="1"/>
  <c r="F74" i="327" s="1"/>
  <c r="F116" i="327"/>
  <c r="L35" i="30"/>
  <c r="E21" i="261"/>
  <c r="E39" i="261" s="1"/>
  <c r="B67" i="128"/>
  <c r="H67" i="128" s="1"/>
  <c r="B37" i="261"/>
  <c r="C84" i="261" s="1"/>
  <c r="B38" i="324"/>
  <c r="C106" i="327"/>
  <c r="D19" i="327"/>
  <c r="E61" i="128"/>
  <c r="E31" i="261"/>
  <c r="F31" i="261" s="1"/>
  <c r="F20" i="261"/>
  <c r="E34" i="261"/>
  <c r="C69" i="128"/>
  <c r="B75" i="128"/>
  <c r="H75" i="128" s="1"/>
  <c r="C104" i="327"/>
  <c r="D104" i="327" s="1"/>
  <c r="E104" i="327" s="1"/>
  <c r="F104" i="327" s="1"/>
  <c r="G104" i="327" s="1"/>
  <c r="D20" i="261"/>
  <c r="D20" i="327"/>
  <c r="C101" i="327"/>
  <c r="C97" i="327"/>
  <c r="D97" i="327" s="1"/>
  <c r="E97" i="327" s="1"/>
  <c r="F97" i="327" s="1"/>
  <c r="G97" i="327" s="1"/>
  <c r="D75" i="327"/>
  <c r="E75" i="327" s="1"/>
  <c r="J35" i="30"/>
  <c r="J61" i="30" s="1"/>
  <c r="C19" i="203"/>
  <c r="C98" i="327"/>
  <c r="D98" i="327" s="1"/>
  <c r="E98" i="327" s="1"/>
  <c r="F98" i="327" s="1"/>
  <c r="G98" i="327" s="1"/>
  <c r="F11" i="261"/>
  <c r="C107" i="327"/>
  <c r="P62" i="327"/>
  <c r="F41" i="324"/>
  <c r="K41" i="324"/>
  <c r="D19" i="261"/>
  <c r="C35" i="261"/>
  <c r="I41" i="324"/>
  <c r="C41" i="324"/>
  <c r="D41" i="324"/>
  <c r="H41" i="324"/>
  <c r="D15" i="261"/>
  <c r="J41" i="324"/>
  <c r="M41" i="324"/>
  <c r="E41" i="324"/>
  <c r="F22" i="261"/>
  <c r="B89" i="128"/>
  <c r="H89" i="128" s="1"/>
  <c r="C22" i="261"/>
  <c r="D22" i="327"/>
  <c r="D85" i="327"/>
  <c r="E85" i="327" s="1"/>
  <c r="F85" i="327" s="1"/>
  <c r="G85" i="327" s="1"/>
  <c r="O11" i="325"/>
  <c r="A37" i="128"/>
  <c r="A52" i="128"/>
  <c r="A59" i="128"/>
  <c r="A11" i="324"/>
  <c r="A32" i="324" s="1"/>
  <c r="A12" i="324"/>
  <c r="A33" i="324" s="1"/>
  <c r="A13" i="128"/>
  <c r="A5" i="128"/>
  <c r="N20" i="326"/>
  <c r="E58" i="261" s="1"/>
  <c r="N16" i="326"/>
  <c r="E54" i="261" s="1"/>
  <c r="C18" i="325"/>
  <c r="C22" i="325"/>
  <c r="M22" i="325"/>
  <c r="J22" i="325"/>
  <c r="H22" i="325"/>
  <c r="F22" i="325"/>
  <c r="C21" i="325"/>
  <c r="L22" i="325"/>
  <c r="C19" i="325"/>
  <c r="G22" i="325"/>
  <c r="I22" i="325"/>
  <c r="C20" i="325"/>
  <c r="N22" i="325"/>
  <c r="K22" i="325"/>
  <c r="D22" i="325"/>
  <c r="E22" i="325"/>
  <c r="H46" i="128"/>
  <c r="E23" i="327"/>
  <c r="G74" i="327"/>
  <c r="N12" i="326"/>
  <c r="E50" i="261" s="1"/>
  <c r="D16" i="327"/>
  <c r="C16" i="261"/>
  <c r="G81" i="327"/>
  <c r="N19" i="326"/>
  <c r="E57" i="261" s="1"/>
  <c r="G76" i="327"/>
  <c r="F19" i="261"/>
  <c r="L61" i="30"/>
  <c r="L62" i="30" s="1"/>
  <c r="G83" i="327"/>
  <c r="G84" i="327"/>
  <c r="G79" i="327"/>
  <c r="C87" i="261"/>
  <c r="D87" i="261" s="1"/>
  <c r="C107" i="261"/>
  <c r="D107" i="261" s="1"/>
  <c r="C128" i="261"/>
  <c r="D128" i="261" s="1"/>
  <c r="D18" i="325"/>
  <c r="D20" i="325"/>
  <c r="D19" i="325"/>
  <c r="D21" i="325"/>
  <c r="C126" i="327"/>
  <c r="D126" i="327" s="1"/>
  <c r="E126" i="327" s="1"/>
  <c r="F126" i="327" s="1"/>
  <c r="G126" i="327" s="1"/>
  <c r="N41" i="324"/>
  <c r="F9" i="325"/>
  <c r="E15" i="325"/>
  <c r="C100" i="327"/>
  <c r="F40" i="261"/>
  <c r="G82" i="327"/>
  <c r="G116" i="327"/>
  <c r="D11" i="261"/>
  <c r="E61" i="30"/>
  <c r="E87" i="30" s="1"/>
  <c r="D12" i="261"/>
  <c r="D78" i="327"/>
  <c r="E78" i="327" s="1"/>
  <c r="F78" i="327" s="1"/>
  <c r="G78" i="327" s="1"/>
  <c r="E15" i="261"/>
  <c r="I35" i="30"/>
  <c r="I36" i="30" s="1"/>
  <c r="D14" i="261"/>
  <c r="E32" i="128"/>
  <c r="G32" i="128" s="1"/>
  <c r="F21" i="261"/>
  <c r="C105" i="327"/>
  <c r="P60" i="327"/>
  <c r="O63" i="327"/>
  <c r="P63" i="327" s="1"/>
  <c r="P57" i="327"/>
  <c r="C102" i="327"/>
  <c r="D80" i="327"/>
  <c r="E80" i="327" s="1"/>
  <c r="F80" i="327" s="1"/>
  <c r="G80" i="327" s="1"/>
  <c r="E17" i="261"/>
  <c r="E55" i="128"/>
  <c r="G55" i="128" s="1"/>
  <c r="H53" i="128"/>
  <c r="C13" i="261"/>
  <c r="B22" i="128"/>
  <c r="D21" i="327"/>
  <c r="D23" i="327" s="1"/>
  <c r="B82" i="128"/>
  <c r="H82" i="128" s="1"/>
  <c r="C21" i="261"/>
  <c r="C128" i="327"/>
  <c r="D128" i="327" s="1"/>
  <c r="E128" i="327" s="1"/>
  <c r="F128" i="327" s="1"/>
  <c r="D106" i="327"/>
  <c r="E106" i="327" s="1"/>
  <c r="F106" i="327" s="1"/>
  <c r="G106" i="327" s="1"/>
  <c r="D77" i="327"/>
  <c r="E77" i="327" s="1"/>
  <c r="F77" i="327" s="1"/>
  <c r="G77" i="327" s="1"/>
  <c r="E14" i="261"/>
  <c r="C86" i="327"/>
  <c r="B13" i="202" s="1"/>
  <c r="P54" i="327"/>
  <c r="C99" i="327"/>
  <c r="E16" i="128"/>
  <c r="E17" i="128"/>
  <c r="G17" i="128" s="1"/>
  <c r="H61" i="30"/>
  <c r="H62" i="30" s="1"/>
  <c r="H9" i="30"/>
  <c r="C119" i="327"/>
  <c r="D119" i="327" s="1"/>
  <c r="E119" i="327" s="1"/>
  <c r="F119" i="327" s="1"/>
  <c r="G119" i="327" s="1"/>
  <c r="G35" i="30"/>
  <c r="G61" i="30" s="1"/>
  <c r="G62" i="30" s="1"/>
  <c r="B37" i="324"/>
  <c r="G37" i="324" s="1"/>
  <c r="F9" i="30"/>
  <c r="D103" i="327"/>
  <c r="E103" i="327" s="1"/>
  <c r="F103" i="327" s="1"/>
  <c r="G103" i="327" s="1"/>
  <c r="C125" i="327"/>
  <c r="D125" i="327" s="1"/>
  <c r="E125" i="327" s="1"/>
  <c r="F125" i="327" s="1"/>
  <c r="C62" i="128"/>
  <c r="E62" i="128" s="1"/>
  <c r="G62" i="128" s="1"/>
  <c r="L9" i="30"/>
  <c r="E9" i="30"/>
  <c r="F61" i="30"/>
  <c r="F87" i="30" s="1"/>
  <c r="E36" i="30"/>
  <c r="L36" i="30"/>
  <c r="C35" i="30"/>
  <c r="C36" i="30" s="1"/>
  <c r="B34" i="261"/>
  <c r="C81" i="261" s="1"/>
  <c r="D81" i="261" s="1"/>
  <c r="B35" i="324"/>
  <c r="I35" i="324" s="1"/>
  <c r="K35" i="30"/>
  <c r="K61" i="30" s="1"/>
  <c r="K62" i="30" s="1"/>
  <c r="D9" i="30"/>
  <c r="N35" i="30"/>
  <c r="D61" i="30"/>
  <c r="D62" i="30" s="1"/>
  <c r="O8" i="30"/>
  <c r="O9" i="30" s="1"/>
  <c r="M9" i="30"/>
  <c r="D96" i="327"/>
  <c r="C118" i="327"/>
  <c r="D15" i="227"/>
  <c r="D24" i="227" s="1"/>
  <c r="D33" i="227" s="1"/>
  <c r="E15" i="227"/>
  <c r="F15" i="227"/>
  <c r="G15" i="227"/>
  <c r="O22" i="322"/>
  <c r="C22" i="322"/>
  <c r="I22" i="322"/>
  <c r="F22" i="322"/>
  <c r="N22" i="322"/>
  <c r="D22" i="322"/>
  <c r="E22" i="322"/>
  <c r="C104" i="261"/>
  <c r="D104" i="261" s="1"/>
  <c r="D84" i="261"/>
  <c r="B33" i="261"/>
  <c r="C39" i="128"/>
  <c r="B38" i="261"/>
  <c r="C126" i="261" s="1"/>
  <c r="D126" i="261" s="1"/>
  <c r="B39" i="324"/>
  <c r="N39" i="324" s="1"/>
  <c r="F37" i="261"/>
  <c r="D37" i="261"/>
  <c r="C125" i="261"/>
  <c r="D125" i="261" s="1"/>
  <c r="C78" i="261"/>
  <c r="D78" i="261" s="1"/>
  <c r="C98" i="261"/>
  <c r="C23" i="128"/>
  <c r="B32" i="324"/>
  <c r="F32" i="324" s="1"/>
  <c r="J36" i="30"/>
  <c r="B30" i="324"/>
  <c r="C7" i="128"/>
  <c r="B29" i="261"/>
  <c r="B33" i="324"/>
  <c r="B32" i="261"/>
  <c r="C31" i="128"/>
  <c r="C34" i="324"/>
  <c r="K34" i="324"/>
  <c r="D34" i="324"/>
  <c r="L34" i="324"/>
  <c r="E34" i="324"/>
  <c r="M34" i="324"/>
  <c r="F34" i="324"/>
  <c r="N34" i="324"/>
  <c r="H34" i="324"/>
  <c r="I34" i="324"/>
  <c r="J34" i="324"/>
  <c r="C103" i="128"/>
  <c r="E8" i="128"/>
  <c r="G8" i="128" s="1"/>
  <c r="G61" i="128"/>
  <c r="D79" i="128"/>
  <c r="E76" i="128"/>
  <c r="F79" i="128" s="1"/>
  <c r="G77" i="128" s="1"/>
  <c r="G79" i="128" s="1"/>
  <c r="M61" i="30"/>
  <c r="M36" i="30"/>
  <c r="E62" i="30"/>
  <c r="D71" i="128"/>
  <c r="E68" i="128"/>
  <c r="F71" i="128" s="1"/>
  <c r="G69" i="128" s="1"/>
  <c r="G71" i="128" s="1"/>
  <c r="B31" i="324"/>
  <c r="B30" i="261"/>
  <c r="C85" i="261"/>
  <c r="D85" i="261" s="1"/>
  <c r="D50" i="128"/>
  <c r="E47" i="128"/>
  <c r="J38" i="324"/>
  <c r="K38" i="324"/>
  <c r="H38" i="324"/>
  <c r="L38" i="324"/>
  <c r="F38" i="324"/>
  <c r="I38" i="324"/>
  <c r="N38" i="324"/>
  <c r="D38" i="324"/>
  <c r="M38" i="324"/>
  <c r="C38" i="324"/>
  <c r="E38" i="324"/>
  <c r="G38" i="324"/>
  <c r="C54" i="128"/>
  <c r="B36" i="324"/>
  <c r="B35" i="261"/>
  <c r="B129" i="261"/>
  <c r="B40" i="324"/>
  <c r="B39" i="261"/>
  <c r="C84" i="128"/>
  <c r="C83" i="261"/>
  <c r="D83" i="261" s="1"/>
  <c r="C124" i="261"/>
  <c r="D124" i="261" s="1"/>
  <c r="D36" i="261"/>
  <c r="C103" i="261"/>
  <c r="C7" i="203"/>
  <c r="B14" i="227"/>
  <c r="E14" i="227" s="1"/>
  <c r="B12" i="30"/>
  <c r="B16" i="250"/>
  <c r="D59" i="124"/>
  <c r="B65" i="124" s="1"/>
  <c r="D72" i="124" s="1"/>
  <c r="B22" i="250"/>
  <c r="C21" i="322"/>
  <c r="M22" i="322"/>
  <c r="L22" i="322"/>
  <c r="H22" i="322"/>
  <c r="C22" i="227"/>
  <c r="C31" i="227" s="1"/>
  <c r="F22" i="227"/>
  <c r="F31" i="227" s="1"/>
  <c r="G22" i="227"/>
  <c r="G31" i="227" s="1"/>
  <c r="D22" i="227"/>
  <c r="D31" i="227" s="1"/>
  <c r="E22" i="227"/>
  <c r="E31" i="227" s="1"/>
  <c r="J22" i="322"/>
  <c r="K22" i="322"/>
  <c r="O45" i="30"/>
  <c r="F21" i="226"/>
  <c r="E27" i="226"/>
  <c r="C21" i="227"/>
  <c r="C30" i="227" s="1"/>
  <c r="D21" i="227"/>
  <c r="D30" i="227" s="1"/>
  <c r="E21" i="227"/>
  <c r="E30" i="227" s="1"/>
  <c r="G21" i="227"/>
  <c r="G30" i="227" s="1"/>
  <c r="F21" i="227"/>
  <c r="F30" i="227" s="1"/>
  <c r="K37" i="204"/>
  <c r="D25" i="250" s="1"/>
  <c r="K25" i="204"/>
  <c r="I14" i="204"/>
  <c r="C19" i="30"/>
  <c r="E15" i="204"/>
  <c r="G74" i="204"/>
  <c r="C24" i="227"/>
  <c r="C33" i="227" s="1"/>
  <c r="H14" i="204"/>
  <c r="F14" i="227"/>
  <c r="B14" i="203"/>
  <c r="C15" i="226" s="1"/>
  <c r="F38" i="261" l="1"/>
  <c r="D101" i="327"/>
  <c r="E101" i="327" s="1"/>
  <c r="F101" i="327" s="1"/>
  <c r="G101" i="327" s="1"/>
  <c r="C123" i="327"/>
  <c r="D123" i="327" s="1"/>
  <c r="E123" i="327" s="1"/>
  <c r="F123" i="327" s="1"/>
  <c r="G123" i="327" s="1"/>
  <c r="C105" i="261"/>
  <c r="D37" i="324"/>
  <c r="D38" i="261"/>
  <c r="F18" i="128"/>
  <c r="K37" i="324"/>
  <c r="E18" i="128"/>
  <c r="G16" i="128"/>
  <c r="G18" i="128" s="1"/>
  <c r="C120" i="327"/>
  <c r="D120" i="327" s="1"/>
  <c r="E120" i="327" s="1"/>
  <c r="F120" i="327" s="1"/>
  <c r="G120" i="327" s="1"/>
  <c r="E23" i="128"/>
  <c r="G23" i="128" s="1"/>
  <c r="E39" i="128"/>
  <c r="G39" i="128" s="1"/>
  <c r="C40" i="261"/>
  <c r="D40" i="261" s="1"/>
  <c r="D22" i="261"/>
  <c r="I61" i="30"/>
  <c r="I62" i="30" s="1"/>
  <c r="H87" i="30"/>
  <c r="H113" i="30" s="1"/>
  <c r="H114" i="30" s="1"/>
  <c r="O41" i="324"/>
  <c r="D39" i="324"/>
  <c r="C129" i="327"/>
  <c r="D129" i="327" s="1"/>
  <c r="E129" i="327" s="1"/>
  <c r="F129" i="327" s="1"/>
  <c r="G129" i="327" s="1"/>
  <c r="D107" i="327"/>
  <c r="E107" i="327" s="1"/>
  <c r="F107" i="327" s="1"/>
  <c r="G107" i="327" s="1"/>
  <c r="I37" i="324"/>
  <c r="F37" i="324"/>
  <c r="L37" i="324"/>
  <c r="D64" i="128"/>
  <c r="F34" i="261"/>
  <c r="L35" i="324"/>
  <c r="F35" i="324"/>
  <c r="D35" i="324"/>
  <c r="J35" i="324"/>
  <c r="M35" i="324"/>
  <c r="G14" i="227"/>
  <c r="G128" i="327"/>
  <c r="E35" i="324"/>
  <c r="G35" i="324"/>
  <c r="E37" i="324"/>
  <c r="K35" i="324"/>
  <c r="F24" i="227"/>
  <c r="F33" i="227" s="1"/>
  <c r="J37" i="324"/>
  <c r="C35" i="324"/>
  <c r="C101" i="261"/>
  <c r="D101" i="261" s="1"/>
  <c r="D23" i="325"/>
  <c r="D25" i="325" s="1"/>
  <c r="C9" i="326" s="1"/>
  <c r="C21" i="326" s="1"/>
  <c r="D15" i="30" s="1"/>
  <c r="D41" i="30" s="1"/>
  <c r="D67" i="30" s="1"/>
  <c r="D93" i="30" s="1"/>
  <c r="D119" i="30" s="1"/>
  <c r="C37" i="324"/>
  <c r="E24" i="227"/>
  <c r="E33" i="227" s="1"/>
  <c r="M37" i="324"/>
  <c r="H35" i="324"/>
  <c r="L87" i="30"/>
  <c r="L88" i="30" s="1"/>
  <c r="C122" i="327"/>
  <c r="D122" i="327" s="1"/>
  <c r="E122" i="327" s="1"/>
  <c r="F122" i="327" s="1"/>
  <c r="G122" i="327" s="1"/>
  <c r="D100" i="327"/>
  <c r="E100" i="327" s="1"/>
  <c r="F100" i="327" s="1"/>
  <c r="G100" i="327" s="1"/>
  <c r="O22" i="325"/>
  <c r="G125" i="327"/>
  <c r="E19" i="325"/>
  <c r="E20" i="325"/>
  <c r="E18" i="325"/>
  <c r="E21" i="325"/>
  <c r="C34" i="261"/>
  <c r="D34" i="261" s="1"/>
  <c r="D16" i="261"/>
  <c r="C23" i="325"/>
  <c r="C25" i="325" s="1"/>
  <c r="B9" i="326" s="1"/>
  <c r="G24" i="227"/>
  <c r="G33" i="227" s="1"/>
  <c r="C122" i="261"/>
  <c r="D122" i="261" s="1"/>
  <c r="H37" i="324"/>
  <c r="G9" i="325"/>
  <c r="F15" i="325"/>
  <c r="N35" i="324"/>
  <c r="C23" i="322"/>
  <c r="D19" i="322" s="1"/>
  <c r="D21" i="322" s="1"/>
  <c r="D23" i="322" s="1"/>
  <c r="E19" i="322" s="1"/>
  <c r="E21" i="322" s="1"/>
  <c r="E23" i="322" s="1"/>
  <c r="F19" i="322" s="1"/>
  <c r="F21" i="322" s="1"/>
  <c r="F23" i="322" s="1"/>
  <c r="G19" i="322" s="1"/>
  <c r="G21" i="322" s="1"/>
  <c r="G23" i="322" s="1"/>
  <c r="H19" i="322" s="1"/>
  <c r="H21" i="322" s="1"/>
  <c r="H23" i="322" s="1"/>
  <c r="I19" i="322" s="1"/>
  <c r="I21" i="322" s="1"/>
  <c r="I23" i="322" s="1"/>
  <c r="J19" i="322" s="1"/>
  <c r="J21" i="322" s="1"/>
  <c r="J23" i="322" s="1"/>
  <c r="K19" i="322" s="1"/>
  <c r="K21" i="322" s="1"/>
  <c r="K23" i="322" s="1"/>
  <c r="L19" i="322" s="1"/>
  <c r="L21" i="322" s="1"/>
  <c r="L23" i="322" s="1"/>
  <c r="M19" i="322" s="1"/>
  <c r="M21" i="322" s="1"/>
  <c r="M23" i="322" s="1"/>
  <c r="N19" i="322" s="1"/>
  <c r="N21" i="322" s="1"/>
  <c r="N23" i="322" s="1"/>
  <c r="O19" i="322" s="1"/>
  <c r="O21" i="322" s="1"/>
  <c r="O23" i="322" s="1"/>
  <c r="N37" i="324"/>
  <c r="E33" i="261"/>
  <c r="F33" i="261" s="1"/>
  <c r="F15" i="261"/>
  <c r="C108" i="327"/>
  <c r="G87" i="30"/>
  <c r="G113" i="30" s="1"/>
  <c r="G114" i="30" s="1"/>
  <c r="D105" i="327"/>
  <c r="E105" i="327" s="1"/>
  <c r="F105" i="327" s="1"/>
  <c r="G105" i="327" s="1"/>
  <c r="C127" i="327"/>
  <c r="D127" i="327" s="1"/>
  <c r="E127" i="327" s="1"/>
  <c r="F127" i="327" s="1"/>
  <c r="G127" i="327" s="1"/>
  <c r="F17" i="261"/>
  <c r="E35" i="261"/>
  <c r="D102" i="327"/>
  <c r="E102" i="327" s="1"/>
  <c r="F102" i="327" s="1"/>
  <c r="G102" i="327" s="1"/>
  <c r="C124" i="327"/>
  <c r="D124" i="327" s="1"/>
  <c r="E124" i="327" s="1"/>
  <c r="F124" i="327" s="1"/>
  <c r="G124" i="327" s="1"/>
  <c r="D86" i="327"/>
  <c r="B14" i="202" s="1"/>
  <c r="E25" i="128"/>
  <c r="G25" i="128" s="1"/>
  <c r="H22" i="128"/>
  <c r="E41" i="128"/>
  <c r="G41" i="128" s="1"/>
  <c r="E40" i="128"/>
  <c r="G40" i="128" s="1"/>
  <c r="E24" i="128"/>
  <c r="G24" i="128" s="1"/>
  <c r="C31" i="261"/>
  <c r="D31" i="261" s="1"/>
  <c r="D13" i="261"/>
  <c r="C39" i="261"/>
  <c r="C23" i="261"/>
  <c r="D21" i="261"/>
  <c r="D99" i="327"/>
  <c r="E99" i="327" s="1"/>
  <c r="F99" i="327" s="1"/>
  <c r="G99" i="327" s="1"/>
  <c r="C121" i="327"/>
  <c r="D121" i="327" s="1"/>
  <c r="E121" i="327" s="1"/>
  <c r="F121" i="327" s="1"/>
  <c r="G121" i="327" s="1"/>
  <c r="E32" i="261"/>
  <c r="F14" i="261"/>
  <c r="E23" i="261"/>
  <c r="C23" i="202" s="1"/>
  <c r="D21" i="202" s="1"/>
  <c r="E23" i="202" s="1"/>
  <c r="E24" i="202" s="1"/>
  <c r="F62" i="30"/>
  <c r="G36" i="30"/>
  <c r="E86" i="327"/>
  <c r="B15" i="202" s="1"/>
  <c r="F75" i="327"/>
  <c r="O35" i="30"/>
  <c r="O36" i="30" s="1"/>
  <c r="C61" i="30"/>
  <c r="C87" i="30" s="1"/>
  <c r="N61" i="30"/>
  <c r="N87" i="30" s="1"/>
  <c r="N36" i="30"/>
  <c r="K36" i="30"/>
  <c r="K87" i="30"/>
  <c r="K113" i="30" s="1"/>
  <c r="K114" i="30" s="1"/>
  <c r="D87" i="30"/>
  <c r="D113" i="30" s="1"/>
  <c r="B7" i="31"/>
  <c r="I17" i="31" s="1"/>
  <c r="D42" i="128"/>
  <c r="D26" i="128"/>
  <c r="D32" i="324"/>
  <c r="J32" i="324"/>
  <c r="H32" i="324"/>
  <c r="M32" i="324"/>
  <c r="K32" i="324"/>
  <c r="D118" i="327"/>
  <c r="E96" i="327"/>
  <c r="C14" i="227"/>
  <c r="C23" i="227" s="1"/>
  <c r="C32" i="227" s="1"/>
  <c r="D14" i="227"/>
  <c r="D23" i="227" s="1"/>
  <c r="D32" i="227" s="1"/>
  <c r="C121" i="261"/>
  <c r="D121" i="261" s="1"/>
  <c r="E32" i="324"/>
  <c r="C32" i="324"/>
  <c r="N32" i="324"/>
  <c r="K39" i="324"/>
  <c r="C100" i="261"/>
  <c r="D100" i="261" s="1"/>
  <c r="D33" i="261"/>
  <c r="J39" i="324"/>
  <c r="C80" i="261"/>
  <c r="D80" i="261" s="1"/>
  <c r="F39" i="324"/>
  <c r="I39" i="324"/>
  <c r="M39" i="324"/>
  <c r="E39" i="324"/>
  <c r="C39" i="324"/>
  <c r="G39" i="324"/>
  <c r="H39" i="324"/>
  <c r="L39" i="324"/>
  <c r="D98" i="261"/>
  <c r="J87" i="30"/>
  <c r="J62" i="30"/>
  <c r="I32" i="324"/>
  <c r="G32" i="324"/>
  <c r="L32" i="324"/>
  <c r="E64" i="128"/>
  <c r="G64" i="128"/>
  <c r="F88" i="30"/>
  <c r="F113" i="30"/>
  <c r="F114" i="30" s="1"/>
  <c r="O38" i="324"/>
  <c r="D105" i="261"/>
  <c r="E113" i="30"/>
  <c r="E114" i="30" s="1"/>
  <c r="E88" i="30"/>
  <c r="F64" i="128"/>
  <c r="O34" i="324"/>
  <c r="D39" i="261"/>
  <c r="C106" i="261"/>
  <c r="C86" i="261"/>
  <c r="D86" i="261" s="1"/>
  <c r="C127" i="261"/>
  <c r="D127" i="261" s="1"/>
  <c r="F39" i="261"/>
  <c r="D103" i="261"/>
  <c r="D29" i="261"/>
  <c r="C96" i="261"/>
  <c r="C76" i="261"/>
  <c r="D76" i="261" s="1"/>
  <c r="C117" i="261"/>
  <c r="D117" i="261" s="1"/>
  <c r="B41" i="261"/>
  <c r="F29" i="261"/>
  <c r="H40" i="324"/>
  <c r="K40" i="324"/>
  <c r="M40" i="324"/>
  <c r="D40" i="324"/>
  <c r="F40" i="324"/>
  <c r="I40" i="324"/>
  <c r="J40" i="324"/>
  <c r="N40" i="324"/>
  <c r="L40" i="324"/>
  <c r="G40" i="324"/>
  <c r="C40" i="324"/>
  <c r="E40" i="324"/>
  <c r="D10" i="128"/>
  <c r="E7" i="128"/>
  <c r="C102" i="128"/>
  <c r="D105" i="128" s="1"/>
  <c r="E31" i="128"/>
  <c r="D34" i="128"/>
  <c r="G30" i="324"/>
  <c r="I30" i="324"/>
  <c r="L30" i="324"/>
  <c r="F30" i="324"/>
  <c r="M30" i="324"/>
  <c r="D30" i="324"/>
  <c r="N30" i="324"/>
  <c r="C30" i="324"/>
  <c r="K30" i="324"/>
  <c r="H30" i="324"/>
  <c r="E30" i="324"/>
  <c r="J30" i="324"/>
  <c r="C102" i="261"/>
  <c r="C123" i="261"/>
  <c r="D123" i="261" s="1"/>
  <c r="D35" i="261"/>
  <c r="C82" i="261"/>
  <c r="D82" i="261" s="1"/>
  <c r="F35" i="261"/>
  <c r="C120" i="261"/>
  <c r="D120" i="261" s="1"/>
  <c r="D32" i="261"/>
  <c r="C99" i="261"/>
  <c r="C79" i="261"/>
  <c r="D79" i="261" s="1"/>
  <c r="F36" i="324"/>
  <c r="H36" i="324"/>
  <c r="K36" i="324"/>
  <c r="N36" i="324"/>
  <c r="I36" i="324"/>
  <c r="M36" i="324"/>
  <c r="J36" i="324"/>
  <c r="D36" i="324"/>
  <c r="E36" i="324"/>
  <c r="C36" i="324"/>
  <c r="L36" i="324"/>
  <c r="G36" i="324"/>
  <c r="E33" i="324"/>
  <c r="K33" i="324"/>
  <c r="M33" i="324"/>
  <c r="D33" i="324"/>
  <c r="F33" i="324"/>
  <c r="H33" i="324"/>
  <c r="J33" i="324"/>
  <c r="C33" i="324"/>
  <c r="L33" i="324"/>
  <c r="N33" i="324"/>
  <c r="I33" i="324"/>
  <c r="G33" i="324"/>
  <c r="D86" i="128"/>
  <c r="E83" i="128"/>
  <c r="F86" i="128" s="1"/>
  <c r="G84" i="128" s="1"/>
  <c r="G86" i="128" s="1"/>
  <c r="D57" i="128"/>
  <c r="E54" i="128"/>
  <c r="M87" i="30"/>
  <c r="M62" i="30"/>
  <c r="F30" i="261"/>
  <c r="C97" i="261"/>
  <c r="C118" i="261"/>
  <c r="D118" i="261" s="1"/>
  <c r="C77" i="261"/>
  <c r="D77" i="261" s="1"/>
  <c r="D30" i="261"/>
  <c r="F50" i="128"/>
  <c r="G47" i="128"/>
  <c r="G50" i="128" s="1"/>
  <c r="E50" i="128"/>
  <c r="E31" i="324"/>
  <c r="J31" i="324"/>
  <c r="M31" i="324"/>
  <c r="D31" i="324"/>
  <c r="L31" i="324"/>
  <c r="C31" i="324"/>
  <c r="K31" i="324"/>
  <c r="F31" i="324"/>
  <c r="N31" i="324"/>
  <c r="H31" i="324"/>
  <c r="G31" i="324"/>
  <c r="I31" i="324"/>
  <c r="D73" i="124"/>
  <c r="D71" i="124"/>
  <c r="B30" i="203"/>
  <c r="C31" i="203" s="1"/>
  <c r="D36" i="226" s="1"/>
  <c r="B66" i="124"/>
  <c r="D65" i="124" s="1"/>
  <c r="D70" i="124"/>
  <c r="B13" i="30"/>
  <c r="B17" i="30" s="1"/>
  <c r="B22" i="30" s="1"/>
  <c r="F15" i="204"/>
  <c r="I15" i="204"/>
  <c r="E16" i="204"/>
  <c r="O19" i="30"/>
  <c r="K74" i="204"/>
  <c r="C25" i="250"/>
  <c r="G21" i="226"/>
  <c r="G27" i="226" s="1"/>
  <c r="F27" i="226"/>
  <c r="C16" i="203"/>
  <c r="B15" i="250" s="1"/>
  <c r="B21" i="250" s="1"/>
  <c r="B30" i="250" s="1"/>
  <c r="B16" i="227"/>
  <c r="G16" i="227" s="1"/>
  <c r="G23" i="227"/>
  <c r="G32" i="227" s="1"/>
  <c r="D15" i="226"/>
  <c r="C16" i="226"/>
  <c r="E41" i="261" l="1"/>
  <c r="L113" i="30"/>
  <c r="L114" i="30" s="1"/>
  <c r="I87" i="30"/>
  <c r="C62" i="30"/>
  <c r="O61" i="30"/>
  <c r="D7" i="31" s="1"/>
  <c r="G17" i="227"/>
  <c r="H88" i="30"/>
  <c r="F23" i="227"/>
  <c r="F32" i="227" s="1"/>
  <c r="O37" i="324"/>
  <c r="O35" i="324"/>
  <c r="E23" i="227"/>
  <c r="E32" i="227" s="1"/>
  <c r="C47" i="261"/>
  <c r="C60" i="261" s="1"/>
  <c r="C68" i="261" s="1"/>
  <c r="B21" i="326"/>
  <c r="C15" i="30" s="1"/>
  <c r="G88" i="30"/>
  <c r="G26" i="128"/>
  <c r="E26" i="128"/>
  <c r="D23" i="261"/>
  <c r="C66" i="261" s="1"/>
  <c r="E23" i="325"/>
  <c r="E25" i="325" s="1"/>
  <c r="D9" i="326" s="1"/>
  <c r="D21" i="326" s="1"/>
  <c r="E15" i="30" s="1"/>
  <c r="E41" i="30" s="1"/>
  <c r="E67" i="30" s="1"/>
  <c r="E93" i="30" s="1"/>
  <c r="E119" i="30" s="1"/>
  <c r="F42" i="128"/>
  <c r="C41" i="261"/>
  <c r="F20" i="325"/>
  <c r="F21" i="325"/>
  <c r="F18" i="325"/>
  <c r="F19" i="325"/>
  <c r="G42" i="128"/>
  <c r="H9" i="325"/>
  <c r="G15" i="325"/>
  <c r="E42" i="128"/>
  <c r="C130" i="327"/>
  <c r="F23" i="261"/>
  <c r="E66" i="261" s="1"/>
  <c r="D108" i="327"/>
  <c r="F26" i="128"/>
  <c r="E119" i="261"/>
  <c r="F119" i="261" s="1"/>
  <c r="E85" i="261"/>
  <c r="F85" i="261" s="1"/>
  <c r="E77" i="261"/>
  <c r="F77" i="261" s="1"/>
  <c r="E102" i="261"/>
  <c r="F102" i="261" s="1"/>
  <c r="E118" i="261"/>
  <c r="F118" i="261" s="1"/>
  <c r="E96" i="261"/>
  <c r="F96" i="261" s="1"/>
  <c r="E80" i="261"/>
  <c r="F80" i="261" s="1"/>
  <c r="E122" i="261"/>
  <c r="F122" i="261" s="1"/>
  <c r="E125" i="261"/>
  <c r="F125" i="261" s="1"/>
  <c r="E107" i="261"/>
  <c r="F107" i="261" s="1"/>
  <c r="E99" i="261"/>
  <c r="F99" i="261" s="1"/>
  <c r="E103" i="261"/>
  <c r="F103" i="261" s="1"/>
  <c r="E79" i="261"/>
  <c r="F79" i="261" s="1"/>
  <c r="E76" i="261"/>
  <c r="F76" i="261" s="1"/>
  <c r="E121" i="261"/>
  <c r="F121" i="261" s="1"/>
  <c r="E124" i="261"/>
  <c r="F124" i="261" s="1"/>
  <c r="E126" i="261"/>
  <c r="F126" i="261" s="1"/>
  <c r="E84" i="261"/>
  <c r="F84" i="261" s="1"/>
  <c r="E127" i="261"/>
  <c r="F127" i="261" s="1"/>
  <c r="E97" i="261"/>
  <c r="F97" i="261" s="1"/>
  <c r="E86" i="261"/>
  <c r="F86" i="261" s="1"/>
  <c r="E104" i="261"/>
  <c r="F104" i="261" s="1"/>
  <c r="E105" i="261"/>
  <c r="F105" i="261" s="1"/>
  <c r="E120" i="261"/>
  <c r="F120" i="261" s="1"/>
  <c r="E117" i="261"/>
  <c r="F117" i="261" s="1"/>
  <c r="E83" i="261"/>
  <c r="F83" i="261" s="1"/>
  <c r="E81" i="261"/>
  <c r="F81" i="261" s="1"/>
  <c r="E101" i="261"/>
  <c r="F101" i="261" s="1"/>
  <c r="E100" i="261"/>
  <c r="F100" i="261" s="1"/>
  <c r="E123" i="261"/>
  <c r="F123" i="261" s="1"/>
  <c r="E87" i="261"/>
  <c r="F87" i="261" s="1"/>
  <c r="E82" i="261"/>
  <c r="F82" i="261" s="1"/>
  <c r="E98" i="261"/>
  <c r="F98" i="261" s="1"/>
  <c r="E78" i="261"/>
  <c r="F78" i="261" s="1"/>
  <c r="E106" i="261"/>
  <c r="F106" i="261" s="1"/>
  <c r="E128" i="261"/>
  <c r="F128" i="261" s="1"/>
  <c r="C7" i="31"/>
  <c r="F14" i="202" s="1"/>
  <c r="F32" i="261"/>
  <c r="N62" i="30"/>
  <c r="G75" i="327"/>
  <c r="G86" i="327" s="1"/>
  <c r="B17" i="202" s="1"/>
  <c r="F86" i="327"/>
  <c r="B16" i="202" s="1"/>
  <c r="I7" i="31"/>
  <c r="K88" i="30"/>
  <c r="D88" i="30"/>
  <c r="F13" i="202"/>
  <c r="C11" i="250"/>
  <c r="C12" i="250" s="1"/>
  <c r="E108" i="327"/>
  <c r="F96" i="327"/>
  <c r="E118" i="327"/>
  <c r="D130" i="327"/>
  <c r="D75" i="124"/>
  <c r="C8" i="226"/>
  <c r="E8" i="226"/>
  <c r="B6" i="30"/>
  <c r="B9" i="30" s="1"/>
  <c r="B23" i="30" s="1"/>
  <c r="B25" i="30" s="1"/>
  <c r="B26" i="30" s="1"/>
  <c r="C25" i="30" s="1"/>
  <c r="D66" i="124"/>
  <c r="D64" i="124"/>
  <c r="D33" i="203"/>
  <c r="F36" i="226"/>
  <c r="G36" i="226"/>
  <c r="E36" i="226"/>
  <c r="O32" i="324"/>
  <c r="O39" i="324"/>
  <c r="N113" i="30"/>
  <c r="N114" i="30" s="1"/>
  <c r="N88" i="30"/>
  <c r="C113" i="30"/>
  <c r="C114" i="30" s="1"/>
  <c r="C88" i="30"/>
  <c r="O87" i="30"/>
  <c r="O88" i="30" s="1"/>
  <c r="J113" i="30"/>
  <c r="J114" i="30" s="1"/>
  <c r="J88" i="30"/>
  <c r="D102" i="261"/>
  <c r="G42" i="324"/>
  <c r="J42" i="324"/>
  <c r="D99" i="261"/>
  <c r="E42" i="324"/>
  <c r="G31" i="128"/>
  <c r="G34" i="128" s="1"/>
  <c r="E34" i="128"/>
  <c r="F34" i="128"/>
  <c r="O31" i="324"/>
  <c r="H42" i="324"/>
  <c r="D114" i="30"/>
  <c r="K42" i="324"/>
  <c r="D106" i="261"/>
  <c r="D97" i="261"/>
  <c r="O30" i="324"/>
  <c r="C42" i="324"/>
  <c r="F41" i="261"/>
  <c r="E67" i="261" s="1"/>
  <c r="I88" i="30"/>
  <c r="I113" i="30"/>
  <c r="I114" i="30" s="1"/>
  <c r="N42" i="324"/>
  <c r="F10" i="128"/>
  <c r="G7" i="128"/>
  <c r="G10" i="128" s="1"/>
  <c r="E10" i="128"/>
  <c r="O40" i="324"/>
  <c r="D42" i="324"/>
  <c r="M113" i="30"/>
  <c r="M114" i="30" s="1"/>
  <c r="M88" i="30"/>
  <c r="O33" i="324"/>
  <c r="E25" i="202"/>
  <c r="M42" i="324"/>
  <c r="I42" i="324"/>
  <c r="F57" i="128"/>
  <c r="E57" i="128"/>
  <c r="G54" i="128"/>
  <c r="G57" i="128" s="1"/>
  <c r="O36" i="324"/>
  <c r="F42" i="324"/>
  <c r="D96" i="261"/>
  <c r="L42" i="324"/>
  <c r="D41" i="261"/>
  <c r="C67" i="261" s="1"/>
  <c r="C36" i="226"/>
  <c r="B9" i="250"/>
  <c r="B12" i="250" s="1"/>
  <c r="G8" i="226"/>
  <c r="F8" i="226"/>
  <c r="D8" i="226"/>
  <c r="C16" i="227"/>
  <c r="C17" i="227" s="1"/>
  <c r="D16" i="227"/>
  <c r="D17" i="227" s="1"/>
  <c r="D20" i="250" s="1"/>
  <c r="F16" i="227"/>
  <c r="F17" i="227" s="1"/>
  <c r="E12" i="31" s="1"/>
  <c r="E16" i="227"/>
  <c r="E17" i="227" s="1"/>
  <c r="D12" i="31" s="1"/>
  <c r="B17" i="227"/>
  <c r="D21" i="203"/>
  <c r="F16" i="204"/>
  <c r="I16" i="204"/>
  <c r="E17" i="204"/>
  <c r="H15" i="204"/>
  <c r="D20" i="30"/>
  <c r="D16" i="226"/>
  <c r="E15" i="226"/>
  <c r="B32" i="250"/>
  <c r="B37" i="250" s="1"/>
  <c r="K8" i="250"/>
  <c r="Q8" i="250" s="1"/>
  <c r="G20" i="250"/>
  <c r="F12" i="31"/>
  <c r="O62" i="30" l="1"/>
  <c r="E20" i="250"/>
  <c r="B110" i="261"/>
  <c r="C41" i="30"/>
  <c r="F23" i="325"/>
  <c r="F25" i="325" s="1"/>
  <c r="E9" i="326" s="1"/>
  <c r="E21" i="326" s="1"/>
  <c r="F15" i="30" s="1"/>
  <c r="F41" i="30" s="1"/>
  <c r="F67" i="30" s="1"/>
  <c r="F93" i="30" s="1"/>
  <c r="F119" i="30" s="1"/>
  <c r="H15" i="325"/>
  <c r="I9" i="325"/>
  <c r="G19" i="325"/>
  <c r="G18" i="325"/>
  <c r="G20" i="325"/>
  <c r="G21" i="325"/>
  <c r="C69" i="261"/>
  <c r="J7" i="31"/>
  <c r="D11" i="250"/>
  <c r="D12" i="250" s="1"/>
  <c r="F129" i="261"/>
  <c r="B130" i="261" s="1"/>
  <c r="F88" i="261"/>
  <c r="B89" i="261" s="1"/>
  <c r="C22" i="202" s="1"/>
  <c r="F25" i="202" s="1"/>
  <c r="J9" i="250"/>
  <c r="F118" i="327"/>
  <c r="E130" i="327"/>
  <c r="E7" i="31"/>
  <c r="F11" i="250" s="1"/>
  <c r="G96" i="327"/>
  <c r="G108" i="327" s="1"/>
  <c r="F108" i="327"/>
  <c r="O25" i="30"/>
  <c r="F97" i="128"/>
  <c r="G97" i="128"/>
  <c r="E14" i="30"/>
  <c r="F7" i="322"/>
  <c r="F9" i="322" s="1"/>
  <c r="O113" i="30"/>
  <c r="O114" i="30" s="1"/>
  <c r="F7" i="31" s="1"/>
  <c r="M12" i="31" s="1"/>
  <c r="K7" i="31"/>
  <c r="F15" i="202"/>
  <c r="E11" i="250"/>
  <c r="J14" i="30"/>
  <c r="K7" i="322"/>
  <c r="K9" i="322" s="1"/>
  <c r="G14" i="30"/>
  <c r="H7" i="322"/>
  <c r="H9" i="322" s="1"/>
  <c r="F108" i="261"/>
  <c r="B109" i="261" s="1"/>
  <c r="B111" i="261" s="1"/>
  <c r="C27" i="202" s="1"/>
  <c r="H25" i="202" s="1"/>
  <c r="E26" i="202"/>
  <c r="H14" i="30"/>
  <c r="I7" i="322"/>
  <c r="I9" i="322" s="1"/>
  <c r="I14" i="30"/>
  <c r="J7" i="322"/>
  <c r="J9" i="322" s="1"/>
  <c r="D7" i="322"/>
  <c r="C14" i="30"/>
  <c r="O42" i="324"/>
  <c r="O7" i="322"/>
  <c r="O9" i="322" s="1"/>
  <c r="N14" i="30"/>
  <c r="M7" i="322"/>
  <c r="M9" i="322" s="1"/>
  <c r="L14" i="30"/>
  <c r="G7" i="322"/>
  <c r="G9" i="322" s="1"/>
  <c r="F14" i="30"/>
  <c r="L7" i="322"/>
  <c r="L9" i="322" s="1"/>
  <c r="K14" i="30"/>
  <c r="M14" i="30"/>
  <c r="N7" i="322"/>
  <c r="N9" i="322" s="1"/>
  <c r="D14" i="30"/>
  <c r="E7" i="322"/>
  <c r="E9" i="322" s="1"/>
  <c r="C25" i="227"/>
  <c r="C34" i="227" s="1"/>
  <c r="D25" i="227"/>
  <c r="D34" i="227" s="1"/>
  <c r="D35" i="227" s="1"/>
  <c r="C12" i="31"/>
  <c r="J12" i="31" s="1"/>
  <c r="F20" i="250"/>
  <c r="F34" i="250" s="1"/>
  <c r="O12" i="250" s="1"/>
  <c r="H16" i="204"/>
  <c r="E20" i="30"/>
  <c r="E18" i="204"/>
  <c r="I17" i="204"/>
  <c r="F17" i="204"/>
  <c r="E25" i="227"/>
  <c r="E26" i="227" s="1"/>
  <c r="E17" i="226" s="1"/>
  <c r="F25" i="227"/>
  <c r="F26" i="227" s="1"/>
  <c r="F17" i="226" s="1"/>
  <c r="G25" i="227"/>
  <c r="G26" i="227" s="1"/>
  <c r="G17" i="226" s="1"/>
  <c r="E34" i="250"/>
  <c r="O11" i="250" s="1"/>
  <c r="C26" i="227"/>
  <c r="C17" i="226" s="1"/>
  <c r="C20" i="250"/>
  <c r="B12" i="31"/>
  <c r="D26" i="227"/>
  <c r="D17" i="226" s="1"/>
  <c r="F15" i="226"/>
  <c r="E16" i="226"/>
  <c r="D34" i="250"/>
  <c r="O10" i="250" s="1"/>
  <c r="G34" i="250"/>
  <c r="O13" i="250" s="1"/>
  <c r="C14" i="190"/>
  <c r="J22" i="250"/>
  <c r="K12" i="31"/>
  <c r="J10" i="250" l="1"/>
  <c r="H19" i="325"/>
  <c r="H18" i="325"/>
  <c r="H20" i="325"/>
  <c r="H21" i="325"/>
  <c r="J9" i="325"/>
  <c r="I15" i="325"/>
  <c r="C67" i="30"/>
  <c r="G23" i="325"/>
  <c r="G25" i="325" s="1"/>
  <c r="F9" i="326" s="1"/>
  <c r="F22" i="202"/>
  <c r="C24" i="202"/>
  <c r="H22" i="202" s="1"/>
  <c r="F23" i="202"/>
  <c r="F24" i="202"/>
  <c r="L12" i="31"/>
  <c r="F16" i="202"/>
  <c r="L7" i="31"/>
  <c r="G118" i="327"/>
  <c r="G130" i="327" s="1"/>
  <c r="F130" i="327"/>
  <c r="L40" i="30"/>
  <c r="E12" i="250"/>
  <c r="J11" i="250"/>
  <c r="D17" i="30"/>
  <c r="D22" i="30" s="1"/>
  <c r="D23" i="30" s="1"/>
  <c r="D40" i="30"/>
  <c r="M40" i="30"/>
  <c r="K40" i="30"/>
  <c r="H26" i="202"/>
  <c r="F26" i="202"/>
  <c r="E27" i="202"/>
  <c r="J40" i="30"/>
  <c r="N40" i="30"/>
  <c r="C40" i="30"/>
  <c r="C17" i="30"/>
  <c r="C22" i="30" s="1"/>
  <c r="C23" i="30" s="1"/>
  <c r="C26" i="30" s="1"/>
  <c r="D25" i="30" s="1"/>
  <c r="O14" i="30"/>
  <c r="C35" i="202"/>
  <c r="C36" i="202" s="1"/>
  <c r="H23" i="202"/>
  <c r="H24" i="202"/>
  <c r="G11" i="250"/>
  <c r="F17" i="202"/>
  <c r="M7" i="31"/>
  <c r="F40" i="30"/>
  <c r="F17" i="30"/>
  <c r="G40" i="30"/>
  <c r="I40" i="30"/>
  <c r="H40" i="30"/>
  <c r="D9" i="322"/>
  <c r="D8" i="322"/>
  <c r="F12" i="250"/>
  <c r="J12" i="250"/>
  <c r="E17" i="30"/>
  <c r="E22" i="30" s="1"/>
  <c r="E23" i="30" s="1"/>
  <c r="E40" i="30"/>
  <c r="G34" i="227"/>
  <c r="G35" i="227" s="1"/>
  <c r="G36" i="227" s="1"/>
  <c r="G35" i="250" s="1"/>
  <c r="P13" i="250" s="1"/>
  <c r="F34" i="227"/>
  <c r="F35" i="227" s="1"/>
  <c r="H17" i="204"/>
  <c r="F20" i="30"/>
  <c r="F18" i="204"/>
  <c r="I18" i="204"/>
  <c r="E19" i="204"/>
  <c r="E34" i="227"/>
  <c r="E35" i="227" s="1"/>
  <c r="E18" i="226"/>
  <c r="E19" i="226" s="1"/>
  <c r="D18" i="226"/>
  <c r="L22" i="250"/>
  <c r="G18" i="226"/>
  <c r="C34" i="250"/>
  <c r="O9" i="250" s="1"/>
  <c r="I12" i="31"/>
  <c r="F18" i="226"/>
  <c r="G15" i="226"/>
  <c r="F16" i="226"/>
  <c r="C18" i="226"/>
  <c r="K9" i="325" l="1"/>
  <c r="J15" i="325"/>
  <c r="I19" i="325"/>
  <c r="I18" i="325"/>
  <c r="I20" i="325"/>
  <c r="I21" i="325"/>
  <c r="F21" i="326"/>
  <c r="G15" i="30" s="1"/>
  <c r="H23" i="325"/>
  <c r="H25" i="325" s="1"/>
  <c r="G9" i="326" s="1"/>
  <c r="G21" i="326" s="1"/>
  <c r="H15" i="30" s="1"/>
  <c r="C93" i="30"/>
  <c r="D10" i="322"/>
  <c r="E6" i="322" s="1"/>
  <c r="E8" i="322" s="1"/>
  <c r="E10" i="322" s="1"/>
  <c r="F6" i="322" s="1"/>
  <c r="F8" i="322" s="1"/>
  <c r="F10" i="322" s="1"/>
  <c r="G6" i="322" s="1"/>
  <c r="G8" i="322" s="1"/>
  <c r="G10" i="322" s="1"/>
  <c r="H6" i="322" s="1"/>
  <c r="H8" i="322" s="1"/>
  <c r="H10" i="322" s="1"/>
  <c r="I6" i="322" s="1"/>
  <c r="I8" i="322" s="1"/>
  <c r="I10" i="322" s="1"/>
  <c r="J6" i="322" s="1"/>
  <c r="J8" i="322" s="1"/>
  <c r="J10" i="322" s="1"/>
  <c r="K6" i="322" s="1"/>
  <c r="K8" i="322" s="1"/>
  <c r="K10" i="322" s="1"/>
  <c r="L6" i="322" s="1"/>
  <c r="L8" i="322" s="1"/>
  <c r="L10" i="322" s="1"/>
  <c r="M6" i="322" s="1"/>
  <c r="M8" i="322" s="1"/>
  <c r="M10" i="322" s="1"/>
  <c r="N6" i="322" s="1"/>
  <c r="N8" i="322" s="1"/>
  <c r="N10" i="322" s="1"/>
  <c r="O6" i="322" s="1"/>
  <c r="O8" i="322" s="1"/>
  <c r="O10" i="322" s="1"/>
  <c r="F7" i="226" s="1"/>
  <c r="F22" i="30"/>
  <c r="F23" i="30" s="1"/>
  <c r="K66" i="30"/>
  <c r="I66" i="30"/>
  <c r="C66" i="30"/>
  <c r="C43" i="30"/>
  <c r="O40" i="30"/>
  <c r="M66" i="30"/>
  <c r="B8" i="31"/>
  <c r="C16" i="250"/>
  <c r="F66" i="30"/>
  <c r="F43" i="30"/>
  <c r="N66" i="30"/>
  <c r="D43" i="30"/>
  <c r="D66" i="30"/>
  <c r="G66" i="30"/>
  <c r="E66" i="30"/>
  <c r="E43" i="30"/>
  <c r="D26" i="30"/>
  <c r="E25" i="30" s="1"/>
  <c r="E26" i="30" s="1"/>
  <c r="F25" i="30" s="1"/>
  <c r="J66" i="30"/>
  <c r="J13" i="250"/>
  <c r="G12" i="250"/>
  <c r="E28" i="202"/>
  <c r="H27" i="202"/>
  <c r="F27" i="202"/>
  <c r="H66" i="30"/>
  <c r="L66" i="30"/>
  <c r="H18" i="204"/>
  <c r="G20" i="30"/>
  <c r="E20" i="204"/>
  <c r="F19" i="204"/>
  <c r="I19" i="204"/>
  <c r="M44" i="250"/>
  <c r="G16" i="226"/>
  <c r="D19" i="226"/>
  <c r="F19" i="226"/>
  <c r="C19" i="226"/>
  <c r="G41" i="30" l="1"/>
  <c r="G17" i="30"/>
  <c r="G22" i="30" s="1"/>
  <c r="G23" i="30" s="1"/>
  <c r="H41" i="30"/>
  <c r="H17" i="30"/>
  <c r="I23" i="325"/>
  <c r="I25" i="325" s="1"/>
  <c r="H9" i="326" s="1"/>
  <c r="H21" i="326" s="1"/>
  <c r="I15" i="30" s="1"/>
  <c r="C119" i="30"/>
  <c r="J20" i="325"/>
  <c r="J21" i="325"/>
  <c r="J18" i="325"/>
  <c r="J19" i="325"/>
  <c r="K15" i="325"/>
  <c r="L9" i="325"/>
  <c r="F26" i="30"/>
  <c r="G25" i="30" s="1"/>
  <c r="C7" i="226"/>
  <c r="E7" i="226"/>
  <c r="D7" i="226"/>
  <c r="G7" i="226"/>
  <c r="G92" i="30"/>
  <c r="M92" i="30"/>
  <c r="D16" i="250"/>
  <c r="C8" i="31"/>
  <c r="D92" i="30"/>
  <c r="D69" i="30"/>
  <c r="D74" i="30" s="1"/>
  <c r="D75" i="30" s="1"/>
  <c r="L92" i="30"/>
  <c r="C92" i="30"/>
  <c r="C69" i="30"/>
  <c r="C74" i="30" s="1"/>
  <c r="C75" i="30" s="1"/>
  <c r="O66" i="30"/>
  <c r="E29" i="202"/>
  <c r="H28" i="202"/>
  <c r="F28" i="202"/>
  <c r="N92" i="30"/>
  <c r="I92" i="30"/>
  <c r="E69" i="30"/>
  <c r="E92" i="30"/>
  <c r="J92" i="30"/>
  <c r="K92" i="30"/>
  <c r="D13" i="202"/>
  <c r="I8" i="31"/>
  <c r="B9" i="31"/>
  <c r="I9" i="31" s="1"/>
  <c r="H92" i="30"/>
  <c r="F92" i="30"/>
  <c r="F69" i="30"/>
  <c r="F74" i="30" s="1"/>
  <c r="F75" i="30" s="1"/>
  <c r="E21" i="204"/>
  <c r="I20" i="204"/>
  <c r="F20" i="204"/>
  <c r="H20" i="30"/>
  <c r="H19" i="204"/>
  <c r="G19" i="226"/>
  <c r="J23" i="325" l="1"/>
  <c r="J25" i="325" s="1"/>
  <c r="I9" i="326" s="1"/>
  <c r="I21" i="326" s="1"/>
  <c r="J15" i="30" s="1"/>
  <c r="M9" i="325"/>
  <c r="L15" i="325"/>
  <c r="I41" i="30"/>
  <c r="I17" i="30"/>
  <c r="H67" i="30"/>
  <c r="H43" i="30"/>
  <c r="K21" i="325"/>
  <c r="K20" i="325"/>
  <c r="K19" i="325"/>
  <c r="K18" i="325"/>
  <c r="H22" i="30"/>
  <c r="H23" i="30" s="1"/>
  <c r="G67" i="30"/>
  <c r="G43" i="30"/>
  <c r="G26" i="30"/>
  <c r="H25" i="30" s="1"/>
  <c r="E118" i="30"/>
  <c r="E121" i="30" s="1"/>
  <c r="E95" i="30"/>
  <c r="C95" i="30"/>
  <c r="C100" i="30" s="1"/>
  <c r="C101" i="30" s="1"/>
  <c r="O92" i="30"/>
  <c r="C118" i="30"/>
  <c r="I118" i="30"/>
  <c r="J8" i="31"/>
  <c r="D14" i="202"/>
  <c r="C9" i="31"/>
  <c r="J9" i="31" s="1"/>
  <c r="F118" i="30"/>
  <c r="F121" i="30" s="1"/>
  <c r="F126" i="30" s="1"/>
  <c r="F127" i="30" s="1"/>
  <c r="F95" i="30"/>
  <c r="F100" i="30" s="1"/>
  <c r="F101" i="30" s="1"/>
  <c r="J118" i="30"/>
  <c r="M118" i="30"/>
  <c r="L118" i="30"/>
  <c r="D95" i="30"/>
  <c r="D100" i="30" s="1"/>
  <c r="D101" i="30" s="1"/>
  <c r="D118" i="30"/>
  <c r="D121" i="30" s="1"/>
  <c r="D126" i="30" s="1"/>
  <c r="D127" i="30" s="1"/>
  <c r="J13" i="202"/>
  <c r="C28" i="202"/>
  <c r="C34" i="202"/>
  <c r="E30" i="202"/>
  <c r="H29" i="202"/>
  <c r="F29" i="202"/>
  <c r="N118" i="30"/>
  <c r="K118" i="30"/>
  <c r="D8" i="31"/>
  <c r="E16" i="250"/>
  <c r="H118" i="30"/>
  <c r="G118" i="30"/>
  <c r="I20" i="30"/>
  <c r="H20" i="204"/>
  <c r="F21" i="204"/>
  <c r="E22" i="204"/>
  <c r="I21" i="204"/>
  <c r="K23" i="325" l="1"/>
  <c r="K25" i="325" s="1"/>
  <c r="J9" i="326" s="1"/>
  <c r="J21" i="326" s="1"/>
  <c r="K15" i="30" s="1"/>
  <c r="K41" i="30" s="1"/>
  <c r="H26" i="30"/>
  <c r="I25" i="30" s="1"/>
  <c r="H93" i="30"/>
  <c r="H69" i="30"/>
  <c r="H74" i="30" s="1"/>
  <c r="H75" i="30" s="1"/>
  <c r="G93" i="30"/>
  <c r="G69" i="30"/>
  <c r="G74" i="30" s="1"/>
  <c r="G75" i="30" s="1"/>
  <c r="I67" i="30"/>
  <c r="I43" i="30"/>
  <c r="L20" i="325"/>
  <c r="L21" i="325"/>
  <c r="L19" i="325"/>
  <c r="L18" i="325"/>
  <c r="M15" i="325"/>
  <c r="N9" i="325"/>
  <c r="I22" i="30"/>
  <c r="I23" i="30" s="1"/>
  <c r="J41" i="30"/>
  <c r="J17" i="30"/>
  <c r="J14" i="202"/>
  <c r="D15" i="202"/>
  <c r="K8" i="31"/>
  <c r="D9" i="31"/>
  <c r="O118" i="30"/>
  <c r="C121" i="30"/>
  <c r="C126" i="30" s="1"/>
  <c r="C127" i="30" s="1"/>
  <c r="F16" i="250"/>
  <c r="E8" i="31"/>
  <c r="H30" i="202"/>
  <c r="F30" i="202"/>
  <c r="E31" i="202"/>
  <c r="J20" i="30"/>
  <c r="H21" i="204"/>
  <c r="I22" i="204"/>
  <c r="E23" i="204"/>
  <c r="F22" i="204"/>
  <c r="K17" i="30" l="1"/>
  <c r="L23" i="325"/>
  <c r="L25" i="325" s="1"/>
  <c r="K9" i="326" s="1"/>
  <c r="K21" i="326" s="1"/>
  <c r="L15" i="30" s="1"/>
  <c r="L41" i="30" s="1"/>
  <c r="I26" i="30"/>
  <c r="J25" i="30" s="1"/>
  <c r="J22" i="30"/>
  <c r="J23" i="30" s="1"/>
  <c r="N15" i="325"/>
  <c r="O9" i="325"/>
  <c r="M18" i="325"/>
  <c r="M19" i="325"/>
  <c r="M21" i="325"/>
  <c r="M20" i="325"/>
  <c r="I93" i="30"/>
  <c r="I69" i="30"/>
  <c r="I74" i="30" s="1"/>
  <c r="I75" i="30" s="1"/>
  <c r="J67" i="30"/>
  <c r="J43" i="30"/>
  <c r="H119" i="30"/>
  <c r="H121" i="30" s="1"/>
  <c r="H126" i="30" s="1"/>
  <c r="H127" i="30" s="1"/>
  <c r="H95" i="30"/>
  <c r="H100" i="30" s="1"/>
  <c r="H101" i="30" s="1"/>
  <c r="K67" i="30"/>
  <c r="K43" i="30"/>
  <c r="G119" i="30"/>
  <c r="G95" i="30"/>
  <c r="G100" i="30" s="1"/>
  <c r="G101" i="30" s="1"/>
  <c r="D16" i="202"/>
  <c r="L8" i="31"/>
  <c r="E9" i="31"/>
  <c r="G16" i="250"/>
  <c r="F8" i="31"/>
  <c r="K9" i="31"/>
  <c r="E32" i="202"/>
  <c r="H31" i="202"/>
  <c r="F31" i="202"/>
  <c r="J15" i="202"/>
  <c r="H22" i="204"/>
  <c r="K20" i="30"/>
  <c r="E24" i="204"/>
  <c r="F23" i="204"/>
  <c r="I23" i="204"/>
  <c r="K22" i="30" l="1"/>
  <c r="K23" i="30" s="1"/>
  <c r="L17" i="30"/>
  <c r="J26" i="30"/>
  <c r="K25" i="30" s="1"/>
  <c r="G121" i="30"/>
  <c r="G126" i="30" s="1"/>
  <c r="G127" i="30" s="1"/>
  <c r="L67" i="30"/>
  <c r="L43" i="30"/>
  <c r="M23" i="325"/>
  <c r="M25" i="325" s="1"/>
  <c r="L9" i="326" s="1"/>
  <c r="L21" i="326" s="1"/>
  <c r="M15" i="30" s="1"/>
  <c r="K93" i="30"/>
  <c r="K69" i="30"/>
  <c r="K74" i="30" s="1"/>
  <c r="K75" i="30" s="1"/>
  <c r="J93" i="30"/>
  <c r="J69" i="30"/>
  <c r="J74" i="30" s="1"/>
  <c r="J75" i="30" s="1"/>
  <c r="N19" i="325"/>
  <c r="O19" i="325" s="1"/>
  <c r="N21" i="325"/>
  <c r="O21" i="325" s="1"/>
  <c r="N18" i="325"/>
  <c r="N20" i="325"/>
  <c r="O20" i="325" s="1"/>
  <c r="O15" i="325"/>
  <c r="I119" i="30"/>
  <c r="I121" i="30" s="1"/>
  <c r="I126" i="30" s="1"/>
  <c r="I127" i="30" s="1"/>
  <c r="I95" i="30"/>
  <c r="I100" i="30" s="1"/>
  <c r="I101" i="30" s="1"/>
  <c r="E33" i="202"/>
  <c r="H32" i="202"/>
  <c r="F32" i="202"/>
  <c r="L9" i="31"/>
  <c r="D17" i="202"/>
  <c r="M8" i="31"/>
  <c r="F9" i="31"/>
  <c r="J16" i="202"/>
  <c r="L20" i="30"/>
  <c r="H23" i="204"/>
  <c r="I24" i="204"/>
  <c r="F24" i="204"/>
  <c r="E25" i="204"/>
  <c r="L22" i="30" l="1"/>
  <c r="L23" i="30" s="1"/>
  <c r="K26" i="30"/>
  <c r="L25" i="30" s="1"/>
  <c r="K119" i="30"/>
  <c r="K121" i="30" s="1"/>
  <c r="K126" i="30" s="1"/>
  <c r="K127" i="30" s="1"/>
  <c r="K95" i="30"/>
  <c r="K100" i="30" s="1"/>
  <c r="K101" i="30" s="1"/>
  <c r="M41" i="30"/>
  <c r="M17" i="30"/>
  <c r="J119" i="30"/>
  <c r="J121" i="30" s="1"/>
  <c r="J126" i="30" s="1"/>
  <c r="J127" i="30" s="1"/>
  <c r="J95" i="30"/>
  <c r="J100" i="30" s="1"/>
  <c r="J101" i="30" s="1"/>
  <c r="L93" i="30"/>
  <c r="L69" i="30"/>
  <c r="L74" i="30" s="1"/>
  <c r="L75" i="30" s="1"/>
  <c r="N23" i="325"/>
  <c r="N25" i="325" s="1"/>
  <c r="M9" i="326" s="1"/>
  <c r="O18" i="325"/>
  <c r="O23" i="325" s="1"/>
  <c r="O25" i="325" s="1"/>
  <c r="J17" i="202"/>
  <c r="F33" i="202"/>
  <c r="H33" i="202"/>
  <c r="E34" i="202"/>
  <c r="M9" i="31"/>
  <c r="E26" i="204"/>
  <c r="I25" i="204"/>
  <c r="F25" i="204"/>
  <c r="H24" i="204"/>
  <c r="M20" i="30"/>
  <c r="L26" i="30" l="1"/>
  <c r="M25" i="30" s="1"/>
  <c r="M67" i="30"/>
  <c r="M43" i="30"/>
  <c r="M21" i="326"/>
  <c r="N15" i="30" s="1"/>
  <c r="N9" i="326"/>
  <c r="L119" i="30"/>
  <c r="L121" i="30" s="1"/>
  <c r="L126" i="30" s="1"/>
  <c r="L127" i="30" s="1"/>
  <c r="L95" i="30"/>
  <c r="L100" i="30" s="1"/>
  <c r="L101" i="30" s="1"/>
  <c r="M22" i="30"/>
  <c r="M23" i="30" s="1"/>
  <c r="H34" i="202"/>
  <c r="E35" i="202"/>
  <c r="F34" i="202"/>
  <c r="H25" i="204"/>
  <c r="N20" i="30"/>
  <c r="J25" i="204"/>
  <c r="F26" i="204"/>
  <c r="C33" i="226"/>
  <c r="E27" i="204"/>
  <c r="I26" i="204"/>
  <c r="M26" i="30" l="1"/>
  <c r="N25" i="30" s="1"/>
  <c r="E47" i="261"/>
  <c r="E60" i="261" s="1"/>
  <c r="N21" i="326"/>
  <c r="N41" i="30"/>
  <c r="N17" i="30"/>
  <c r="N22" i="30" s="1"/>
  <c r="N23" i="30" s="1"/>
  <c r="O15" i="30"/>
  <c r="M93" i="30"/>
  <c r="M69" i="30"/>
  <c r="M74" i="30" s="1"/>
  <c r="M75" i="30" s="1"/>
  <c r="E36" i="202"/>
  <c r="F35" i="202"/>
  <c r="H35" i="202"/>
  <c r="F27" i="204"/>
  <c r="E28" i="204"/>
  <c r="I27" i="204"/>
  <c r="H26" i="204"/>
  <c r="C46" i="30"/>
  <c r="C24" i="250"/>
  <c r="B13" i="31"/>
  <c r="O20" i="30"/>
  <c r="N26" i="30" l="1"/>
  <c r="M119" i="30"/>
  <c r="M121" i="30" s="1"/>
  <c r="M126" i="30" s="1"/>
  <c r="M127" i="30" s="1"/>
  <c r="M95" i="30"/>
  <c r="M100" i="30" s="1"/>
  <c r="M101" i="30" s="1"/>
  <c r="N67" i="30"/>
  <c r="N43" i="30"/>
  <c r="O41" i="30"/>
  <c r="B11" i="31"/>
  <c r="B14" i="31" s="1"/>
  <c r="O17" i="30"/>
  <c r="O22" i="30" s="1"/>
  <c r="O23" i="30" s="1"/>
  <c r="O26" i="30" s="1"/>
  <c r="E68" i="261"/>
  <c r="E69" i="261" s="1"/>
  <c r="C29" i="202"/>
  <c r="C30" i="202" s="1"/>
  <c r="C32" i="202" s="1"/>
  <c r="C33" i="202"/>
  <c r="E37" i="202"/>
  <c r="H36" i="202"/>
  <c r="F36" i="202"/>
  <c r="M9" i="250"/>
  <c r="I28" i="204"/>
  <c r="F28" i="204"/>
  <c r="E29" i="204"/>
  <c r="C48" i="30"/>
  <c r="C49" i="30" s="1"/>
  <c r="H27" i="204"/>
  <c r="D46" i="30"/>
  <c r="D48" i="30" s="1"/>
  <c r="D49" i="30" s="1"/>
  <c r="C6" i="226" l="1"/>
  <c r="C9" i="226" s="1"/>
  <c r="P26" i="30"/>
  <c r="B51" i="30"/>
  <c r="O51" i="30" s="1"/>
  <c r="B16" i="31"/>
  <c r="I16" i="31" s="1"/>
  <c r="I14" i="31"/>
  <c r="C11" i="31"/>
  <c r="O43" i="30"/>
  <c r="N93" i="30"/>
  <c r="N69" i="30"/>
  <c r="N74" i="30" s="1"/>
  <c r="N75" i="30" s="1"/>
  <c r="O67" i="30"/>
  <c r="G38" i="202"/>
  <c r="G33" i="202"/>
  <c r="I33" i="202" s="1"/>
  <c r="J33" i="202" s="1"/>
  <c r="G29" i="202"/>
  <c r="I29" i="202" s="1"/>
  <c r="J29" i="202" s="1"/>
  <c r="G35" i="202"/>
  <c r="I35" i="202" s="1"/>
  <c r="J35" i="202" s="1"/>
  <c r="G36" i="202"/>
  <c r="I36" i="202" s="1"/>
  <c r="J36" i="202" s="1"/>
  <c r="G34" i="202"/>
  <c r="I34" i="202" s="1"/>
  <c r="J34" i="202" s="1"/>
  <c r="G23" i="202"/>
  <c r="I23" i="202" s="1"/>
  <c r="J23" i="202" s="1"/>
  <c r="G22" i="202"/>
  <c r="I22" i="202" s="1"/>
  <c r="J22" i="202" s="1"/>
  <c r="G37" i="202"/>
  <c r="G26" i="202"/>
  <c r="I26" i="202" s="1"/>
  <c r="J26" i="202" s="1"/>
  <c r="G28" i="202"/>
  <c r="I28" i="202" s="1"/>
  <c r="J28" i="202" s="1"/>
  <c r="G30" i="202"/>
  <c r="I30" i="202" s="1"/>
  <c r="J30" i="202" s="1"/>
  <c r="G32" i="202"/>
  <c r="I32" i="202" s="1"/>
  <c r="J32" i="202" s="1"/>
  <c r="G31" i="202"/>
  <c r="I31" i="202" s="1"/>
  <c r="J31" i="202" s="1"/>
  <c r="G24" i="202"/>
  <c r="I24" i="202" s="1"/>
  <c r="J24" i="202" s="1"/>
  <c r="G27" i="202"/>
  <c r="I27" i="202" s="1"/>
  <c r="J27" i="202" s="1"/>
  <c r="G25" i="202"/>
  <c r="I25" i="202" s="1"/>
  <c r="J25" i="202" s="1"/>
  <c r="C37" i="202"/>
  <c r="C38" i="202" s="1"/>
  <c r="C19" i="250"/>
  <c r="C21" i="250" s="1"/>
  <c r="K9" i="250" s="1"/>
  <c r="C13" i="202"/>
  <c r="I11" i="31"/>
  <c r="E38" i="202"/>
  <c r="H37" i="202"/>
  <c r="F37" i="202"/>
  <c r="H28" i="204"/>
  <c r="E46" i="30"/>
  <c r="E30" i="204"/>
  <c r="F29" i="204"/>
  <c r="I29" i="204"/>
  <c r="I37" i="202" l="1"/>
  <c r="J37" i="202" s="1"/>
  <c r="B18" i="31"/>
  <c r="B24" i="31" s="1"/>
  <c r="E47" i="30"/>
  <c r="O47" i="30" s="1"/>
  <c r="C31" i="226"/>
  <c r="C34" i="226" s="1"/>
  <c r="C26" i="250"/>
  <c r="N9" i="250" s="1"/>
  <c r="Q9" i="250" s="1"/>
  <c r="J23" i="250" s="1"/>
  <c r="D11" i="31"/>
  <c r="O69" i="30"/>
  <c r="N119" i="30"/>
  <c r="N95" i="30"/>
  <c r="N100" i="30" s="1"/>
  <c r="N101" i="30" s="1"/>
  <c r="O93" i="30"/>
  <c r="E13" i="202"/>
  <c r="I13" i="202"/>
  <c r="G13" i="202"/>
  <c r="H13" i="202" s="1"/>
  <c r="D19" i="250"/>
  <c r="D21" i="250" s="1"/>
  <c r="K10" i="250" s="1"/>
  <c r="C14" i="202"/>
  <c r="J11" i="31"/>
  <c r="H38" i="202"/>
  <c r="I38" i="202" s="1"/>
  <c r="F38" i="202"/>
  <c r="C28" i="226"/>
  <c r="K9" i="226" s="1"/>
  <c r="H29" i="204"/>
  <c r="F46" i="30"/>
  <c r="F48" i="30" s="1"/>
  <c r="F49" i="30" s="1"/>
  <c r="E31" i="204"/>
  <c r="F30" i="204"/>
  <c r="I30" i="204"/>
  <c r="C9" i="249" l="1"/>
  <c r="C29" i="250"/>
  <c r="C30" i="250" s="1"/>
  <c r="C32" i="250" s="1"/>
  <c r="C37" i="250" s="1"/>
  <c r="D14" i="190" s="1"/>
  <c r="B26" i="31"/>
  <c r="B50" i="30"/>
  <c r="B52" i="30" s="1"/>
  <c r="C37" i="226"/>
  <c r="C45" i="249" s="1"/>
  <c r="E48" i="30"/>
  <c r="E49" i="30" s="1"/>
  <c r="C36" i="249"/>
  <c r="B23" i="31"/>
  <c r="B22" i="31"/>
  <c r="B29" i="31" s="1"/>
  <c r="B25" i="31"/>
  <c r="I18" i="31"/>
  <c r="E14" i="202"/>
  <c r="I14" i="202"/>
  <c r="G14" i="202"/>
  <c r="H14" i="202" s="1"/>
  <c r="N121" i="30"/>
  <c r="N126" i="30" s="1"/>
  <c r="N127" i="30" s="1"/>
  <c r="O119" i="30"/>
  <c r="J38" i="202"/>
  <c r="E11" i="31"/>
  <c r="O95" i="30"/>
  <c r="E19" i="250"/>
  <c r="E21" i="250" s="1"/>
  <c r="K11" i="250" s="1"/>
  <c r="C15" i="202"/>
  <c r="K11" i="31"/>
  <c r="D14" i="31"/>
  <c r="G46" i="30"/>
  <c r="G48" i="30" s="1"/>
  <c r="G49" i="30" s="1"/>
  <c r="H30" i="204"/>
  <c r="L23" i="250"/>
  <c r="K18" i="226"/>
  <c r="K12" i="226"/>
  <c r="K11" i="226"/>
  <c r="K14" i="226"/>
  <c r="K13" i="226"/>
  <c r="K8" i="226"/>
  <c r="K27" i="226"/>
  <c r="C49" i="226" s="1"/>
  <c r="K19" i="226"/>
  <c r="C48" i="226" s="1"/>
  <c r="K20" i="226"/>
  <c r="K36" i="226"/>
  <c r="K7" i="226"/>
  <c r="C27" i="249"/>
  <c r="K15" i="226"/>
  <c r="K16" i="226"/>
  <c r="K21" i="226"/>
  <c r="K17" i="226"/>
  <c r="K33" i="226"/>
  <c r="K6" i="226"/>
  <c r="E32" i="204"/>
  <c r="I31" i="204"/>
  <c r="F31" i="204"/>
  <c r="C47" i="226"/>
  <c r="K31" i="226"/>
  <c r="C18" i="249"/>
  <c r="K34" i="226"/>
  <c r="O50" i="30" l="1"/>
  <c r="C39" i="226"/>
  <c r="K39" i="226" s="1"/>
  <c r="K41" i="226" s="1"/>
  <c r="C54" i="249"/>
  <c r="K37" i="226"/>
  <c r="K28" i="226"/>
  <c r="D17" i="31"/>
  <c r="D16" i="31"/>
  <c r="K14" i="31"/>
  <c r="F19" i="250"/>
  <c r="F21" i="250" s="1"/>
  <c r="K12" i="250" s="1"/>
  <c r="C16" i="202"/>
  <c r="L11" i="31"/>
  <c r="E14" i="31"/>
  <c r="F11" i="31"/>
  <c r="O121" i="30"/>
  <c r="E15" i="202"/>
  <c r="G15" i="202"/>
  <c r="H15" i="202" s="1"/>
  <c r="I15" i="202"/>
  <c r="M45" i="250"/>
  <c r="N44" i="250" s="1"/>
  <c r="N45" i="250" s="1"/>
  <c r="O44" i="250" s="1"/>
  <c r="O45" i="250" s="1"/>
  <c r="P44" i="250" s="1"/>
  <c r="P45" i="250" s="1"/>
  <c r="F32" i="204"/>
  <c r="E33" i="204"/>
  <c r="I32" i="204"/>
  <c r="H31" i="204"/>
  <c r="H46" i="30"/>
  <c r="C51" i="30"/>
  <c r="C52" i="30" s="1"/>
  <c r="D51" i="30" s="1"/>
  <c r="D52" i="30" s="1"/>
  <c r="E51" i="30" s="1"/>
  <c r="E52" i="30" s="1"/>
  <c r="F51" i="30" s="1"/>
  <c r="F52" i="30" s="1"/>
  <c r="G51" i="30" s="1"/>
  <c r="G52" i="30" s="1"/>
  <c r="H51" i="30" s="1"/>
  <c r="B53" i="30"/>
  <c r="C41" i="226" l="1"/>
  <c r="C42" i="226" s="1"/>
  <c r="D18" i="31"/>
  <c r="D24" i="31" s="1"/>
  <c r="E17" i="31"/>
  <c r="L14" i="31"/>
  <c r="E16" i="31"/>
  <c r="C17" i="202"/>
  <c r="G19" i="250"/>
  <c r="G21" i="250" s="1"/>
  <c r="K13" i="250" s="1"/>
  <c r="M11" i="31"/>
  <c r="F14" i="31"/>
  <c r="E16" i="202"/>
  <c r="G16" i="202"/>
  <c r="H16" i="202" s="1"/>
  <c r="I16" i="202"/>
  <c r="E26" i="250"/>
  <c r="E99" i="30"/>
  <c r="E31" i="226"/>
  <c r="E34" i="226" s="1"/>
  <c r="K16" i="31"/>
  <c r="E27" i="250"/>
  <c r="K17" i="31"/>
  <c r="H48" i="30"/>
  <c r="H49" i="30" s="1"/>
  <c r="H52" i="30" s="1"/>
  <c r="I51" i="30" s="1"/>
  <c r="E34" i="204"/>
  <c r="F33" i="204"/>
  <c r="I33" i="204"/>
  <c r="I46" i="30"/>
  <c r="I48" i="30" s="1"/>
  <c r="I49" i="30" s="1"/>
  <c r="H32" i="204"/>
  <c r="D22" i="31" l="1"/>
  <c r="D29" i="31" s="1"/>
  <c r="K18" i="31"/>
  <c r="D23" i="31"/>
  <c r="E37" i="226"/>
  <c r="E54" i="249" s="1"/>
  <c r="B102" i="30"/>
  <c r="O102" i="30" s="1"/>
  <c r="E36" i="249"/>
  <c r="D26" i="31"/>
  <c r="D25" i="31"/>
  <c r="E18" i="31"/>
  <c r="E25" i="31" s="1"/>
  <c r="F17" i="31"/>
  <c r="M14" i="31"/>
  <c r="F16" i="31"/>
  <c r="N11" i="250"/>
  <c r="Q11" i="250" s="1"/>
  <c r="J25" i="250" s="1"/>
  <c r="L25" i="250" s="1"/>
  <c r="E29" i="250"/>
  <c r="E30" i="250" s="1"/>
  <c r="E32" i="250" s="1"/>
  <c r="E37" i="250" s="1"/>
  <c r="F14" i="190" s="1"/>
  <c r="L16" i="31"/>
  <c r="E125" i="30"/>
  <c r="F26" i="250"/>
  <c r="F31" i="226"/>
  <c r="F34" i="226" s="1"/>
  <c r="E100" i="30"/>
  <c r="E101" i="30" s="1"/>
  <c r="O99" i="30"/>
  <c r="O100" i="30" s="1"/>
  <c r="O101" i="30" s="1"/>
  <c r="E17" i="202"/>
  <c r="I17" i="202"/>
  <c r="G17" i="202"/>
  <c r="H17" i="202" s="1"/>
  <c r="F27" i="250"/>
  <c r="L17" i="31"/>
  <c r="I52" i="30"/>
  <c r="J51" i="30" s="1"/>
  <c r="J46" i="30"/>
  <c r="J48" i="30" s="1"/>
  <c r="J49" i="30" s="1"/>
  <c r="H33" i="204"/>
  <c r="E35" i="204"/>
  <c r="I34" i="204"/>
  <c r="F34" i="204"/>
  <c r="E39" i="226" l="1"/>
  <c r="E41" i="226" s="1"/>
  <c r="F37" i="226"/>
  <c r="F39" i="226" s="1"/>
  <c r="F41" i="226" s="1"/>
  <c r="E26" i="31"/>
  <c r="E22" i="31"/>
  <c r="E29" i="31" s="1"/>
  <c r="L18" i="31"/>
  <c r="E24" i="31"/>
  <c r="B128" i="30"/>
  <c r="O128" i="30" s="1"/>
  <c r="E23" i="31"/>
  <c r="F18" i="31"/>
  <c r="F23" i="31" s="1"/>
  <c r="F36" i="249"/>
  <c r="F29" i="250"/>
  <c r="F30" i="250" s="1"/>
  <c r="F32" i="250" s="1"/>
  <c r="F37" i="250" s="1"/>
  <c r="G14" i="190" s="1"/>
  <c r="N12" i="250"/>
  <c r="Q12" i="250" s="1"/>
  <c r="J26" i="250" s="1"/>
  <c r="L26" i="250" s="1"/>
  <c r="E126" i="30"/>
  <c r="E127" i="30" s="1"/>
  <c r="O125" i="30"/>
  <c r="O126" i="30" s="1"/>
  <c r="O127" i="30" s="1"/>
  <c r="G26" i="250"/>
  <c r="G31" i="226"/>
  <c r="G34" i="226" s="1"/>
  <c r="M16" i="31"/>
  <c r="M17" i="31"/>
  <c r="G27" i="250"/>
  <c r="J52" i="30"/>
  <c r="K51" i="30" s="1"/>
  <c r="E36" i="204"/>
  <c r="F35" i="204"/>
  <c r="I35" i="204"/>
  <c r="K46" i="30"/>
  <c r="K48" i="30" s="1"/>
  <c r="K49" i="30" s="1"/>
  <c r="H34" i="204"/>
  <c r="F54" i="249" l="1"/>
  <c r="F25" i="31"/>
  <c r="G37" i="226"/>
  <c r="G54" i="249" s="1"/>
  <c r="F24" i="31"/>
  <c r="F22" i="31"/>
  <c r="F29" i="31" s="1"/>
  <c r="F26" i="31"/>
  <c r="G36" i="249"/>
  <c r="M18" i="31"/>
  <c r="N13" i="250"/>
  <c r="Q13" i="250" s="1"/>
  <c r="J27" i="250" s="1"/>
  <c r="L27" i="250" s="1"/>
  <c r="G29" i="250"/>
  <c r="G30" i="250" s="1"/>
  <c r="G32" i="250" s="1"/>
  <c r="G37" i="250" s="1"/>
  <c r="H14" i="190" s="1"/>
  <c r="K52" i="30"/>
  <c r="L51" i="30" s="1"/>
  <c r="H35" i="204"/>
  <c r="L46" i="30"/>
  <c r="L48" i="30" s="1"/>
  <c r="L49" i="30" s="1"/>
  <c r="E37" i="204"/>
  <c r="F36" i="204"/>
  <c r="I36" i="204"/>
  <c r="G39" i="226" l="1"/>
  <c r="G41" i="226" s="1"/>
  <c r="L52" i="30"/>
  <c r="M51" i="30" s="1"/>
  <c r="H36" i="204"/>
  <c r="M46" i="30"/>
  <c r="M48" i="30" s="1"/>
  <c r="M49" i="30" s="1"/>
  <c r="F37" i="204"/>
  <c r="I37" i="204"/>
  <c r="M52" i="30" l="1"/>
  <c r="N51" i="30" s="1"/>
  <c r="N46" i="30"/>
  <c r="H37" i="204"/>
  <c r="H74" i="204" s="1"/>
  <c r="F74" i="204"/>
  <c r="J37" i="204"/>
  <c r="D24" i="250" l="1"/>
  <c r="C13" i="31"/>
  <c r="C14" i="31" s="1"/>
  <c r="J74" i="204"/>
  <c r="N48" i="30"/>
  <c r="N49" i="30" s="1"/>
  <c r="N52" i="30" s="1"/>
  <c r="O46" i="30"/>
  <c r="O48" i="30" s="1"/>
  <c r="O49" i="30" s="1"/>
  <c r="O52" i="30" s="1"/>
  <c r="D6" i="226" l="1"/>
  <c r="B77" i="30"/>
  <c r="O77" i="30" s="1"/>
  <c r="C17" i="31"/>
  <c r="C16" i="31"/>
  <c r="J14" i="31"/>
  <c r="M10" i="250"/>
  <c r="C18" i="31" l="1"/>
  <c r="D37" i="226" s="1"/>
  <c r="D31" i="226"/>
  <c r="D26" i="250"/>
  <c r="J16" i="31"/>
  <c r="E73" i="30"/>
  <c r="D27" i="250"/>
  <c r="J17" i="31"/>
  <c r="D9" i="226"/>
  <c r="C23" i="31" l="1"/>
  <c r="C25" i="31"/>
  <c r="C22" i="31"/>
  <c r="C29" i="31" s="1"/>
  <c r="B76" i="30"/>
  <c r="O76" i="30" s="1"/>
  <c r="C26" i="31"/>
  <c r="C24" i="31"/>
  <c r="J18" i="31"/>
  <c r="D36" i="249"/>
  <c r="N10" i="250"/>
  <c r="Q10" i="250" s="1"/>
  <c r="J24" i="250" s="1"/>
  <c r="D29" i="250"/>
  <c r="D30" i="250" s="1"/>
  <c r="D32" i="250" s="1"/>
  <c r="D37" i="250" s="1"/>
  <c r="D28" i="226"/>
  <c r="D45" i="249" s="1"/>
  <c r="D9" i="249"/>
  <c r="D34" i="226"/>
  <c r="E74" i="30"/>
  <c r="E75" i="30" s="1"/>
  <c r="O73" i="30"/>
  <c r="O74" i="30" s="1"/>
  <c r="O75" i="30" s="1"/>
  <c r="D54" i="249"/>
  <c r="D39" i="226"/>
  <c r="B78" i="30" l="1"/>
  <c r="C77" i="30" s="1"/>
  <c r="C78" i="30" s="1"/>
  <c r="D77" i="30" s="1"/>
  <c r="D78" i="30" s="1"/>
  <c r="E77" i="30" s="1"/>
  <c r="E78" i="30" s="1"/>
  <c r="F77" i="30" s="1"/>
  <c r="F78" i="30" s="1"/>
  <c r="G77" i="30" s="1"/>
  <c r="G78" i="30" s="1"/>
  <c r="H77" i="30" s="1"/>
  <c r="H78" i="30" s="1"/>
  <c r="I77" i="30" s="1"/>
  <c r="I78" i="30" s="1"/>
  <c r="J77" i="30" s="1"/>
  <c r="J78" i="30" s="1"/>
  <c r="K77" i="30" s="1"/>
  <c r="K78" i="30" s="1"/>
  <c r="L77" i="30" s="1"/>
  <c r="L78" i="30" s="1"/>
  <c r="M77" i="30" s="1"/>
  <c r="M78" i="30" s="1"/>
  <c r="N77" i="30" s="1"/>
  <c r="N78" i="30" s="1"/>
  <c r="O78" i="30"/>
  <c r="E6" i="226" s="1"/>
  <c r="L31" i="226"/>
  <c r="L9" i="226"/>
  <c r="E14" i="190"/>
  <c r="L39" i="250"/>
  <c r="D41" i="226"/>
  <c r="D42" i="226" s="1"/>
  <c r="L34" i="226"/>
  <c r="D18" i="249"/>
  <c r="L21" i="226"/>
  <c r="L15" i="226"/>
  <c r="L20" i="226"/>
  <c r="L11" i="226"/>
  <c r="D27" i="249"/>
  <c r="L36" i="226"/>
  <c r="L8" i="226"/>
  <c r="L17" i="226"/>
  <c r="L18" i="226"/>
  <c r="L19" i="226"/>
  <c r="C56" i="226" s="1"/>
  <c r="L7" i="226"/>
  <c r="L14" i="226"/>
  <c r="L16" i="226"/>
  <c r="L12" i="226"/>
  <c r="L13" i="226"/>
  <c r="L27" i="226"/>
  <c r="C57" i="226" s="1"/>
  <c r="L33" i="226"/>
  <c r="L6" i="226"/>
  <c r="L37" i="226"/>
  <c r="L39" i="226"/>
  <c r="C59" i="226" s="1"/>
  <c r="L24" i="250"/>
  <c r="L33" i="250"/>
  <c r="M33" i="250" s="1"/>
  <c r="J28" i="250"/>
  <c r="P78" i="30" l="1"/>
  <c r="B79" i="30"/>
  <c r="B103" i="30"/>
  <c r="B104" i="30" s="1"/>
  <c r="C103" i="30" s="1"/>
  <c r="C104" i="30" s="1"/>
  <c r="D103" i="30" s="1"/>
  <c r="D104" i="30" s="1"/>
  <c r="E103" i="30" s="1"/>
  <c r="E104" i="30" s="1"/>
  <c r="F103" i="30" s="1"/>
  <c r="F104" i="30" s="1"/>
  <c r="G103" i="30" s="1"/>
  <c r="G104" i="30" s="1"/>
  <c r="H103" i="30" s="1"/>
  <c r="H104" i="30" s="1"/>
  <c r="I103" i="30" s="1"/>
  <c r="I104" i="30" s="1"/>
  <c r="J103" i="30" s="1"/>
  <c r="J104" i="30" s="1"/>
  <c r="K103" i="30" s="1"/>
  <c r="K104" i="30" s="1"/>
  <c r="L103" i="30" s="1"/>
  <c r="L104" i="30" s="1"/>
  <c r="M103" i="30" s="1"/>
  <c r="M104" i="30" s="1"/>
  <c r="N103" i="30" s="1"/>
  <c r="N104" i="30" s="1"/>
  <c r="L29" i="250"/>
  <c r="L36" i="250"/>
  <c r="M36" i="250" s="1"/>
  <c r="C5" i="190"/>
  <c r="C9" i="190"/>
  <c r="C8" i="190"/>
  <c r="C6" i="190"/>
  <c r="C11" i="190"/>
  <c r="C7" i="190"/>
  <c r="C3" i="190"/>
  <c r="C4" i="190"/>
  <c r="D10" i="190"/>
  <c r="C10" i="190" s="1"/>
  <c r="M39" i="250"/>
  <c r="C58" i="226"/>
  <c r="L41" i="226"/>
  <c r="C55" i="226"/>
  <c r="L28" i="226"/>
  <c r="E9" i="226"/>
  <c r="O103" i="30" l="1"/>
  <c r="O104" i="30" s="1"/>
  <c r="P104" i="30" s="1"/>
  <c r="E28" i="226"/>
  <c r="M9" i="226" s="1"/>
  <c r="E9" i="249"/>
  <c r="B129" i="30" l="1"/>
  <c r="O129" i="30" s="1"/>
  <c r="O130" i="30" s="1"/>
  <c r="G6" i="226" s="1"/>
  <c r="F6" i="226"/>
  <c r="F9" i="226" s="1"/>
  <c r="C61" i="226"/>
  <c r="M13" i="226"/>
  <c r="E45" i="249"/>
  <c r="M21" i="226"/>
  <c r="M14" i="226"/>
  <c r="M15" i="226"/>
  <c r="M31" i="226"/>
  <c r="M37" i="226"/>
  <c r="M34" i="226"/>
  <c r="M20" i="226"/>
  <c r="E18" i="249"/>
  <c r="M36" i="226"/>
  <c r="E42" i="226"/>
  <c r="M8" i="226"/>
  <c r="M17" i="226"/>
  <c r="M19" i="226"/>
  <c r="C62" i="226" s="1"/>
  <c r="M39" i="226"/>
  <c r="C65" i="226" s="1"/>
  <c r="M7" i="226"/>
  <c r="M16" i="226"/>
  <c r="E27" i="249"/>
  <c r="M12" i="226"/>
  <c r="M27" i="226"/>
  <c r="C63" i="226" s="1"/>
  <c r="M11" i="226"/>
  <c r="M33" i="226"/>
  <c r="M18" i="226"/>
  <c r="M6" i="226"/>
  <c r="B130" i="30" l="1"/>
  <c r="C129" i="30" s="1"/>
  <c r="C130" i="30" s="1"/>
  <c r="D129" i="30" s="1"/>
  <c r="D130" i="30" s="1"/>
  <c r="E129" i="30" s="1"/>
  <c r="E130" i="30" s="1"/>
  <c r="F129" i="30" s="1"/>
  <c r="F130" i="30" s="1"/>
  <c r="G129" i="30" s="1"/>
  <c r="G130" i="30" s="1"/>
  <c r="H129" i="30" s="1"/>
  <c r="H130" i="30" s="1"/>
  <c r="I129" i="30" s="1"/>
  <c r="I130" i="30" s="1"/>
  <c r="J129" i="30" s="1"/>
  <c r="J130" i="30" s="1"/>
  <c r="K129" i="30" s="1"/>
  <c r="K130" i="30" s="1"/>
  <c r="L129" i="30" s="1"/>
  <c r="L130" i="30" s="1"/>
  <c r="M129" i="30" s="1"/>
  <c r="M130" i="30" s="1"/>
  <c r="N129" i="30" s="1"/>
  <c r="N130" i="30" s="1"/>
  <c r="M28" i="226"/>
  <c r="G9" i="226"/>
  <c r="C64" i="226"/>
  <c r="M41" i="226"/>
  <c r="F28" i="226"/>
  <c r="N9" i="226" s="1"/>
  <c r="F9" i="249"/>
  <c r="C67" i="226" l="1"/>
  <c r="N8" i="226"/>
  <c r="N34" i="226"/>
  <c r="F27" i="249"/>
  <c r="N20" i="226"/>
  <c r="N17" i="226"/>
  <c r="N14" i="226"/>
  <c r="N33" i="226"/>
  <c r="N31" i="226"/>
  <c r="N12" i="226"/>
  <c r="F45" i="249"/>
  <c r="F18" i="249"/>
  <c r="N11" i="226"/>
  <c r="N36" i="226"/>
  <c r="N15" i="226"/>
  <c r="N13" i="226"/>
  <c r="N39" i="226"/>
  <c r="C71" i="226" s="1"/>
  <c r="N7" i="226"/>
  <c r="N37" i="226"/>
  <c r="F42" i="226"/>
  <c r="N18" i="226"/>
  <c r="N16" i="226"/>
  <c r="N21" i="226"/>
  <c r="N19" i="226"/>
  <c r="C68" i="226" s="1"/>
  <c r="N27" i="226"/>
  <c r="C69" i="226" s="1"/>
  <c r="N6" i="226"/>
  <c r="G28" i="226"/>
  <c r="G9" i="249"/>
  <c r="O14" i="226" l="1"/>
  <c r="O31" i="226"/>
  <c r="O16" i="226"/>
  <c r="O37" i="226"/>
  <c r="G42" i="226"/>
  <c r="O33" i="226"/>
  <c r="O12" i="226"/>
  <c r="O21" i="226"/>
  <c r="G45" i="249"/>
  <c r="O27" i="226"/>
  <c r="C75" i="226" s="1"/>
  <c r="O8" i="226"/>
  <c r="O34" i="226"/>
  <c r="O19" i="226"/>
  <c r="C74" i="226" s="1"/>
  <c r="O39" i="226"/>
  <c r="C77" i="226" s="1"/>
  <c r="G18" i="249"/>
  <c r="O20" i="226"/>
  <c r="O11" i="226"/>
  <c r="O18" i="226"/>
  <c r="O13" i="226"/>
  <c r="G27" i="249"/>
  <c r="O17" i="226"/>
  <c r="O15" i="226"/>
  <c r="O7" i="226"/>
  <c r="O36" i="226"/>
  <c r="O6" i="226"/>
  <c r="C70" i="226"/>
  <c r="N41" i="226"/>
  <c r="O9" i="226"/>
  <c r="N28" i="226"/>
  <c r="C76" i="226" l="1"/>
  <c r="O41" i="226"/>
  <c r="O28" i="226"/>
  <c r="C73" i="226"/>
</calcChain>
</file>

<file path=xl/sharedStrings.xml><?xml version="1.0" encoding="utf-8"?>
<sst xmlns="http://schemas.openxmlformats.org/spreadsheetml/2006/main" count="1265" uniqueCount="516">
  <si>
    <t>AÑO</t>
  </si>
  <si>
    <t>CONCEPTO</t>
  </si>
  <si>
    <t>Costo de venta</t>
  </si>
  <si>
    <t>Utilidad Bruta</t>
  </si>
  <si>
    <t>Utilidad de operación</t>
  </si>
  <si>
    <t>PTU (10%)</t>
  </si>
  <si>
    <t>Utilidad Neta</t>
  </si>
  <si>
    <t>Mes</t>
  </si>
  <si>
    <t>Inicial</t>
  </si>
  <si>
    <t>Saldo inicial</t>
  </si>
  <si>
    <t>ENTRADAS</t>
  </si>
  <si>
    <t>Aportaciones de socios</t>
  </si>
  <si>
    <t>Ingresos por Venta</t>
  </si>
  <si>
    <t>Total Entradas</t>
  </si>
  <si>
    <t>SALIDAS</t>
  </si>
  <si>
    <t>Inversiones en activo fijo</t>
  </si>
  <si>
    <t>Compras</t>
  </si>
  <si>
    <t>Intereses</t>
  </si>
  <si>
    <t>Total Salidas</t>
  </si>
  <si>
    <t>Disponibilidad</t>
  </si>
  <si>
    <t>Año</t>
  </si>
  <si>
    <t>ISR</t>
  </si>
  <si>
    <t>PTU</t>
  </si>
  <si>
    <t>AÑOS</t>
  </si>
  <si>
    <t>COSTOS FIJOS</t>
  </si>
  <si>
    <t>COSTOS VARIABLES</t>
  </si>
  <si>
    <t>COSTOS TOTALES</t>
  </si>
  <si>
    <t>VENTAS TOTALES</t>
  </si>
  <si>
    <t>FLUJO NETO DE EFECTIVO</t>
  </si>
  <si>
    <t>INGRESOS /VENTA</t>
  </si>
  <si>
    <t>IMPUESTOS Y PTU</t>
  </si>
  <si>
    <t xml:space="preserve"> </t>
  </si>
  <si>
    <t xml:space="preserve">VALOR ACTUAL NETO   </t>
  </si>
  <si>
    <t xml:space="preserve">FACTOR </t>
  </si>
  <si>
    <t>CANTIDAD</t>
  </si>
  <si>
    <t>TOTAL</t>
  </si>
  <si>
    <t>PRODUCTO</t>
  </si>
  <si>
    <t>COSTO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</si>
  <si>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</si>
  <si>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</si>
  <si>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</si>
  <si>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</si>
  <si>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</si>
  <si>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</si>
  <si>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</si>
  <si>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</si>
  <si>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</si>
  <si>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</si>
  <si>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</si>
  <si>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</si>
  <si>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ENTRADAS - SALIDAS.</t>
  </si>
  <si>
    <t xml:space="preserve"> +  Saldo inicial</t>
  </si>
  <si>
    <t>Activo Circulante</t>
  </si>
  <si>
    <t>pasivo circulante</t>
  </si>
  <si>
    <t xml:space="preserve">1º </t>
  </si>
  <si>
    <t>Deuda Total</t>
  </si>
  <si>
    <t>Activo total</t>
  </si>
  <si>
    <t>Activo Total</t>
  </si>
  <si>
    <t>Ventas netas</t>
  </si>
  <si>
    <t>3.- ROTACION DEL ACTIVO TOTAL =</t>
  </si>
  <si>
    <t>4.- Margen De Ventas          =</t>
  </si>
  <si>
    <t>5.-Rendimiento Activos Totales=</t>
  </si>
  <si>
    <t>Capital Contable</t>
  </si>
  <si>
    <t>6.-Rendimiento Capital Contable=</t>
  </si>
  <si>
    <t>Ventas</t>
  </si>
  <si>
    <t>UTILIDAD</t>
  </si>
  <si>
    <t>UNIDADES</t>
  </si>
  <si>
    <t>INGRESOS</t>
  </si>
  <si>
    <t>COSTO TOTAL</t>
  </si>
  <si>
    <t>PUNTO DE EQUILIBRIO AÑO 1</t>
  </si>
  <si>
    <t>Materia prima</t>
  </si>
  <si>
    <t>COSTO UNITARIO TOTAL</t>
  </si>
  <si>
    <t>COSTO VARIABLE UNITARIO</t>
  </si>
  <si>
    <t xml:space="preserve">MARGEN DE CONTRIB. MARGINAL  </t>
  </si>
  <si>
    <t>PUNTO DE EQUILIBRIO UNIDADES</t>
  </si>
  <si>
    <t>PUNTO DE EQUILIBRIO EN DINERO</t>
  </si>
  <si>
    <t>Costo Var. Unit</t>
  </si>
  <si>
    <t>P E EN ($)</t>
  </si>
  <si>
    <t>INDICE DE</t>
  </si>
  <si>
    <t>ABSORCIÓN (%)</t>
  </si>
  <si>
    <t xml:space="preserve">P de E Unidades  </t>
  </si>
  <si>
    <t>COSTO</t>
  </si>
  <si>
    <t xml:space="preserve"> ACTIVO </t>
  </si>
  <si>
    <t xml:space="preserve"> ACTIVO CIRCULANTE </t>
  </si>
  <si>
    <t xml:space="preserve">Caja </t>
  </si>
  <si>
    <t>Total Activo Circulante</t>
  </si>
  <si>
    <t>ACTIVO FIJO</t>
  </si>
  <si>
    <t xml:space="preserve"> Total Activo Fijo </t>
  </si>
  <si>
    <t xml:space="preserve"> TOTAL ACTIVO </t>
  </si>
  <si>
    <t xml:space="preserve"> PASIVO </t>
  </si>
  <si>
    <t xml:space="preserve"> PASIVO A LARGO PLAZO </t>
  </si>
  <si>
    <t xml:space="preserve"> TOTAL PASIVO </t>
  </si>
  <si>
    <t xml:space="preserve"> CAPITAL </t>
  </si>
  <si>
    <t xml:space="preserve"> Aportac. Capital Social</t>
  </si>
  <si>
    <t>TOTAL CAPITAL</t>
  </si>
  <si>
    <t xml:space="preserve"> SUMA PASIVO + CAPITAL </t>
  </si>
  <si>
    <t>Tasa anual</t>
  </si>
  <si>
    <t>Int. Anual</t>
  </si>
  <si>
    <t>Am. Anual</t>
  </si>
  <si>
    <t>AÑO 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</si>
  <si>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</si>
  <si>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</si>
  <si>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</si>
  <si>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</si>
  <si>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</si>
  <si>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</si>
  <si>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</si>
  <si>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</si>
  <si>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</si>
  <si>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</si>
  <si>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</si>
  <si>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</si>
  <si>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  2</t>
  </si>
  <si>
    <t>COSTO MENSUAL TOTAL</t>
  </si>
  <si>
    <t>ANUALES</t>
  </si>
  <si>
    <t>UNIDADES (ANUAL)</t>
  </si>
  <si>
    <t>Cargos indirectos</t>
  </si>
  <si>
    <t>INVENTARIO FINAL DE MATERIALES</t>
  </si>
  <si>
    <t>AÑO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</si>
  <si>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</si>
  <si>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</si>
  <si>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</si>
  <si>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</si>
  <si>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</si>
  <si>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</si>
  <si>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</si>
  <si>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</si>
  <si>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</si>
  <si>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</si>
  <si>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</si>
  <si>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</si>
  <si>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Inv. Ini Mat Prima</t>
  </si>
  <si>
    <t>Existencias</t>
  </si>
  <si>
    <t>Producción</t>
  </si>
  <si>
    <t>INVENTARIO FINAL PRODUCTOS TERMINADOS</t>
  </si>
  <si>
    <t>Inv. Ini PT</t>
  </si>
  <si>
    <t>INVERSION INICIAL</t>
  </si>
  <si>
    <t>Gastos generales</t>
  </si>
  <si>
    <t>Salidas</t>
  </si>
  <si>
    <t>Pago de financiamiento</t>
  </si>
  <si>
    <t>ISR Y PTU</t>
  </si>
  <si>
    <t>FLUJO DE EFECTIVO MENSUAL  AÑO 5</t>
  </si>
  <si>
    <t>AÑO 2</t>
  </si>
  <si>
    <t>AÑO 3</t>
  </si>
  <si>
    <t>AÑO 4</t>
  </si>
  <si>
    <t>AÑO 5</t>
  </si>
  <si>
    <t xml:space="preserve">ISR </t>
  </si>
  <si>
    <t>BALANCE GENERAL PROFORMA</t>
  </si>
  <si>
    <t xml:space="preserve"> Caja </t>
  </si>
  <si>
    <t>Inventario final de M. Prima</t>
  </si>
  <si>
    <t>Inventario final de Prod. Term.</t>
  </si>
  <si>
    <t xml:space="preserve"> ACTIVO FIJO </t>
  </si>
  <si>
    <t xml:space="preserve"> Maquinaria y equipo </t>
  </si>
  <si>
    <t xml:space="preserve"> Mobiliario y equipo de oficina </t>
  </si>
  <si>
    <t xml:space="preserve"> Equipo de transporte</t>
  </si>
  <si>
    <t>Activo Fijo Bruto</t>
  </si>
  <si>
    <t>Total Depreciaciones</t>
  </si>
  <si>
    <t>PASIVO A CORTO PLAZO</t>
  </si>
  <si>
    <t>ISR Y PTU por pagar</t>
  </si>
  <si>
    <t>Capital Social</t>
  </si>
  <si>
    <t>Utilidad del Ejercicio</t>
  </si>
  <si>
    <t>=</t>
  </si>
  <si>
    <t>+</t>
  </si>
  <si>
    <t xml:space="preserve">DEPRECIACIONES </t>
  </si>
  <si>
    <t>DEPRECIACIONES ANUALES</t>
  </si>
  <si>
    <t>DEPRECIACIONES ACUMULADAS</t>
  </si>
  <si>
    <t>SALDO POR DEPRECIAR</t>
  </si>
  <si>
    <t>Inversión Inicial</t>
  </si>
  <si>
    <t xml:space="preserve">COSTOS Y GASTOS </t>
  </si>
  <si>
    <t>PAGO DE FINANCIAMIENTO</t>
  </si>
  <si>
    <t>INTERESES</t>
  </si>
  <si>
    <t>TMAR</t>
  </si>
  <si>
    <t>FLUJOS DESCONTADOS</t>
  </si>
  <si>
    <t>FNE DESCONTADO</t>
  </si>
  <si>
    <t>Depreciación Anual</t>
  </si>
  <si>
    <t>DEPRECIACIONES</t>
  </si>
  <si>
    <t>VALOR DE SALVAMENT0</t>
  </si>
  <si>
    <t>INDICE DE CONFIABILIDAD</t>
  </si>
  <si>
    <t>PERIODO DE RECUPERACIÓN DE LA INV.</t>
  </si>
  <si>
    <t>Años antes de la recuperación +</t>
  </si>
  <si>
    <t>RAZONES    FINANCIERAS</t>
  </si>
  <si>
    <t>PRECIO</t>
  </si>
  <si>
    <t>GASTOS MENSUALES</t>
  </si>
  <si>
    <t>VENTAS ANUALES</t>
  </si>
  <si>
    <t>(MES)</t>
  </si>
  <si>
    <t>COSTO ANUAL</t>
  </si>
  <si>
    <t>VAN</t>
  </si>
  <si>
    <t>REAL</t>
  </si>
  <si>
    <t>PESIMISTA</t>
  </si>
  <si>
    <t>TAMAR</t>
  </si>
  <si>
    <t>MAQUINARIA Y EQUIPO</t>
  </si>
  <si>
    <t>APORTACION DE LOS SOCIOS</t>
  </si>
  <si>
    <t>N</t>
  </si>
  <si>
    <t>VP-AC</t>
  </si>
  <si>
    <t>SIxTI</t>
  </si>
  <si>
    <t>VP/N</t>
  </si>
  <si>
    <t>IG+AC</t>
  </si>
  <si>
    <t>SI-AC</t>
  </si>
  <si>
    <t>PERIODO</t>
  </si>
  <si>
    <t>SALDO INICIAL</t>
  </si>
  <si>
    <t>INTERES</t>
  </si>
  <si>
    <t>AMOR.CAPITAL</t>
  </si>
  <si>
    <t>PAGO TOTAL</t>
  </si>
  <si>
    <t>SALDO FINAL</t>
  </si>
  <si>
    <t>TI</t>
  </si>
  <si>
    <t>Tasa mensual</t>
  </si>
  <si>
    <t>VP</t>
  </si>
  <si>
    <t>Valor del prestamo</t>
  </si>
  <si>
    <t>Periodos</t>
  </si>
  <si>
    <t>meses</t>
  </si>
  <si>
    <t>SI</t>
  </si>
  <si>
    <t>AC</t>
  </si>
  <si>
    <t>Amortizacion de capital</t>
  </si>
  <si>
    <t>SUMA DE LOS GASTOS</t>
  </si>
  <si>
    <t>Aportación Financiamto.</t>
  </si>
  <si>
    <t>Pago de capital financ.</t>
  </si>
  <si>
    <t>Intereses del financiam</t>
  </si>
  <si>
    <t>ENTRADAS   UNIDADES</t>
  </si>
  <si>
    <t>PRESUPUESTO FLUJO DE EFECTIVO MENSUAL  AÑO 1</t>
  </si>
  <si>
    <t>PRESUPUESTO  FLUJO DE EFECTIVO MENSUAL  AÑO 2</t>
  </si>
  <si>
    <t>PRESUPUESTO FLUJO DE EFECTIVO MENSUAL  AÑO 3</t>
  </si>
  <si>
    <t>PRESUPUESTO FLUJO DE EFECTIVO MENSUAL  AÑO 4</t>
  </si>
  <si>
    <t>año</t>
  </si>
  <si>
    <t>monto</t>
  </si>
  <si>
    <t>TOTAL DE PENDIENTE DE DEPRECIAR</t>
  </si>
  <si>
    <t>VALOR DE SALVAMENTO AÑO 5</t>
  </si>
  <si>
    <t>Ingresos</t>
  </si>
  <si>
    <t>REDUCCION A PORCIENTOS</t>
  </si>
  <si>
    <t xml:space="preserve">Financiamiento </t>
  </si>
  <si>
    <t>Diferencias</t>
  </si>
  <si>
    <t>2.- Razon de endeudamiento =</t>
  </si>
  <si>
    <t>Porcentaje que se debe de los bienes</t>
  </si>
  <si>
    <t>que se tienen</t>
  </si>
  <si>
    <t>Veces que se vende en relacion a lo que se tiene invertido</t>
  </si>
  <si>
    <t>lo que se tiene invertido</t>
  </si>
  <si>
    <t>Porcentaje de utilidad que se genera de las ventas</t>
  </si>
  <si>
    <t xml:space="preserve">2º </t>
  </si>
  <si>
    <t xml:space="preserve">3º </t>
  </si>
  <si>
    <t xml:space="preserve">4º </t>
  </si>
  <si>
    <t xml:space="preserve">5º </t>
  </si>
  <si>
    <t>costos fijos</t>
  </si>
  <si>
    <t>1-  cv/pv</t>
  </si>
  <si>
    <t>Punto de Eq. $  =</t>
  </si>
  <si>
    <t>pv - cv</t>
  </si>
  <si>
    <t>unidades</t>
  </si>
  <si>
    <t>Aportación Financiamiento</t>
  </si>
  <si>
    <t>Parcial salidas</t>
  </si>
  <si>
    <t>FLUJOS DE EFECTIVO</t>
  </si>
  <si>
    <t>Intereses del financiamiento</t>
  </si>
  <si>
    <t>DEPREC. Y amortizac.</t>
  </si>
  <si>
    <t>valor de</t>
  </si>
  <si>
    <t>salvamento</t>
  </si>
  <si>
    <t>ventas</t>
  </si>
  <si>
    <t>menos</t>
  </si>
  <si>
    <t>mas</t>
  </si>
  <si>
    <t>igual</t>
  </si>
  <si>
    <t xml:space="preserve">TIR  </t>
  </si>
  <si>
    <t>Flujo del año siguiente</t>
  </si>
  <si>
    <t>años</t>
  </si>
  <si>
    <t>dias</t>
  </si>
  <si>
    <t>CAPITAL DE TRABAJO</t>
  </si>
  <si>
    <t>SUBTOTAL</t>
  </si>
  <si>
    <t>VENTAS MENSUAL $</t>
  </si>
  <si>
    <t>TOTALES</t>
  </si>
  <si>
    <t>ESTADO DE RESULTADOS PROYECTADOS</t>
  </si>
  <si>
    <t>PUNTO DE EQUILIBRIO PROMEDIO ANUAL</t>
  </si>
  <si>
    <t xml:space="preserve">GASTOS GENERALES </t>
  </si>
  <si>
    <t>PROM. DE 3 PRODUCTOS</t>
  </si>
  <si>
    <t>COSTO UNITARIO PROMEDIO</t>
  </si>
  <si>
    <t>PRECIO VENTA U. PROM. TOTAL</t>
  </si>
  <si>
    <t>Gastos Generales Admon.</t>
  </si>
  <si>
    <t>activos circulantes</t>
  </si>
  <si>
    <t>activos fijos</t>
  </si>
  <si>
    <t>pasivos</t>
  </si>
  <si>
    <t>capital</t>
  </si>
  <si>
    <t>COSTO UNITARIO TOTAL PROMEDIO PONDERADO</t>
  </si>
  <si>
    <t>precio de venta</t>
  </si>
  <si>
    <t>costo variable</t>
  </si>
  <si>
    <t>mezcla de prod.</t>
  </si>
  <si>
    <t>Margen de C. Pond.</t>
  </si>
  <si>
    <t>Productos</t>
  </si>
  <si>
    <t>margen de con.</t>
  </si>
  <si>
    <t>PRECIO DE VTA PROM</t>
  </si>
  <si>
    <t>margen de cont.</t>
  </si>
  <si>
    <t>PRECIO DE VENTA PROMEDIO PONDERADO UNITARIO</t>
  </si>
  <si>
    <t>COSTO VARIABLE</t>
  </si>
  <si>
    <t>COSTO FIJO UNITARIO</t>
  </si>
  <si>
    <t xml:space="preserve">Porcentaje de rendimiento sobre la inversion total </t>
  </si>
  <si>
    <t>EDIFICIO</t>
  </si>
  <si>
    <t>APOYO FINANCIERO</t>
  </si>
  <si>
    <t>VENTAS TOTALES MENSUALES</t>
  </si>
  <si>
    <t>COSTOS DE VENTAS MENSUALES</t>
  </si>
  <si>
    <t>EQUIPO DE COMPUTO</t>
  </si>
  <si>
    <t>EQUIPO DE OFICINA</t>
  </si>
  <si>
    <t>Propiedad Intelectual</t>
  </si>
  <si>
    <t>EQUIPO DE TRANSPORTE</t>
  </si>
  <si>
    <t>Edificios</t>
  </si>
  <si>
    <t>Maquinaria y Equipo</t>
  </si>
  <si>
    <t>Equipo de Transporte</t>
  </si>
  <si>
    <t>Equipo de Computo</t>
  </si>
  <si>
    <t>Equipo de Oficina</t>
  </si>
  <si>
    <t xml:space="preserve">     ACTIVO DIFERIDO</t>
  </si>
  <si>
    <t>SUELDOS FIJOS</t>
  </si>
  <si>
    <t>Equipo de computo</t>
  </si>
  <si>
    <t>Depreciación</t>
  </si>
  <si>
    <t>Depreciaciones</t>
  </si>
  <si>
    <t>Utilidades Retenidas</t>
  </si>
  <si>
    <t>P Equilibrio</t>
  </si>
  <si>
    <t>Esperado</t>
  </si>
  <si>
    <t>Optimista</t>
  </si>
  <si>
    <t>Pesimista</t>
  </si>
  <si>
    <t>ESCENARIOS</t>
  </si>
  <si>
    <t>C.VARIABLE</t>
  </si>
  <si>
    <t>APLICACIÓN DE LOS RECURSOS INICIALES</t>
  </si>
  <si>
    <t>ORIGEN DE LOS RECURSOS INICIALES</t>
  </si>
  <si>
    <t>Caja</t>
  </si>
  <si>
    <t>BALANCE INICIAL año 0</t>
  </si>
  <si>
    <t xml:space="preserve">APOYOS FINANCIEROS EXTERNOS </t>
  </si>
  <si>
    <t xml:space="preserve">CONCEPTO </t>
  </si>
  <si>
    <t>PRESUPUEST0  NOMINA   AÑO   1</t>
  </si>
  <si>
    <t>PRESUPUEST0  DE COSTOS FIJOS  AÑO   1</t>
  </si>
  <si>
    <t>MENSUAL</t>
  </si>
  <si>
    <t>ESTADO DE RESULTADOS REDUCCION A PORCIENTOS</t>
  </si>
  <si>
    <t>ANALISIS DE SENSIBILIDAD COSTO VOLUMEN UTILIDAD</t>
  </si>
  <si>
    <t>UNIDADES   DE     MATERIA PRIMA</t>
  </si>
  <si>
    <t>UNIDAD DE MEDIDA</t>
  </si>
  <si>
    <t>EN DINERO   DE     MATERIA PRIMA</t>
  </si>
  <si>
    <t>.</t>
  </si>
  <si>
    <t>DIFERIDOS</t>
  </si>
  <si>
    <t>desde costos fijos</t>
  </si>
  <si>
    <t>REPARTO DE UTILIDADES</t>
  </si>
  <si>
    <t>Costos fijos (gasto gral. Anual)</t>
  </si>
  <si>
    <t>Compras o costos variables</t>
  </si>
  <si>
    <t>Gastos  Fijos de Administracion</t>
  </si>
  <si>
    <t>CONCENTRADO GASTOS FIJOS DE ADMINISTRACION</t>
  </si>
  <si>
    <t>UNIDAD DE</t>
  </si>
  <si>
    <t>MEDIDA</t>
  </si>
  <si>
    <t>PROMEDIO PONDERADO PARA MAS DE 1 ARTICULO</t>
  </si>
  <si>
    <t xml:space="preserve">  Pesos por cada pesos que se debe a corto plazo</t>
  </si>
  <si>
    <t>ACTIVO DIFERIDO</t>
  </si>
  <si>
    <t xml:space="preserve"> Total Activo Diferido</t>
  </si>
  <si>
    <t>AÑO  4</t>
  </si>
  <si>
    <t>Ventas anuales en dinero</t>
  </si>
  <si>
    <t>INVENTARIO FINAL MAT. PRIMA</t>
  </si>
  <si>
    <t>INVENTARIO FINAL PROD. TERM.</t>
  </si>
  <si>
    <t>Stock  2</t>
  </si>
  <si>
    <t>Stock  M.P.</t>
  </si>
  <si>
    <t>CONCENTRADO COMPRAS O COSTO DE VENTAS año 1</t>
  </si>
  <si>
    <t>CONCENTRADO VENTAS  año 1</t>
  </si>
  <si>
    <t xml:space="preserve">Inventario Inicial </t>
  </si>
  <si>
    <t>dato</t>
  </si>
  <si>
    <t>Resuelto</t>
  </si>
  <si>
    <t>Inflacion</t>
  </si>
  <si>
    <t>Riesgo</t>
  </si>
  <si>
    <t>Costo Capital</t>
  </si>
  <si>
    <t>DIFERENCIAS</t>
  </si>
  <si>
    <t>GRAFICA</t>
  </si>
  <si>
    <t>CALCULO TMAR</t>
  </si>
  <si>
    <t>Tasa Riesgo</t>
  </si>
  <si>
    <t>Inversiones en activos</t>
  </si>
  <si>
    <t>Aportación Socios</t>
  </si>
  <si>
    <t>graficar</t>
  </si>
  <si>
    <t>GRAFICO</t>
  </si>
  <si>
    <t>OPTIMISTA</t>
  </si>
  <si>
    <t>SIN RIESGO</t>
  </si>
  <si>
    <t>AÑO  3</t>
  </si>
  <si>
    <t xml:space="preserve">INVERSIONES INICIALES PERMANENTES </t>
  </si>
  <si>
    <t>DIGITE LOS DATOS UNICAMENTE EN LAS CELDAS DE ESTE COLOR</t>
  </si>
  <si>
    <t>EN LAS CELDAS DE ESTE COLOR NO DIGITE NADA, PORQUE SON AUTOMATICAS.</t>
  </si>
  <si>
    <t>NOTA:</t>
  </si>
  <si>
    <t>TOTAL DE INVERSION</t>
  </si>
  <si>
    <t>NO HACER CAMBIOS EN ESTA TABLA</t>
  </si>
  <si>
    <t>TOTAL DE VENTAS EN DINERO</t>
  </si>
  <si>
    <t>INCREMENTO ANUAL EN UNIDADES</t>
  </si>
  <si>
    <t>% Incremento en unidades</t>
  </si>
  <si>
    <t>% Incremento en Precio</t>
  </si>
  <si>
    <t>UNIDADES PRODUCIDAS (mensual)</t>
  </si>
  <si>
    <t xml:space="preserve">PROM. </t>
  </si>
  <si>
    <t>VTAS MES</t>
  </si>
  <si>
    <t>COSTO TOTAL ANUAL</t>
  </si>
  <si>
    <t>Unidades</t>
  </si>
  <si>
    <t xml:space="preserve">COSTO DE PRODUCCION TOTAL  DE TODOS LOS PRODUCTOS </t>
  </si>
  <si>
    <t>Mano de Obra por unidad</t>
  </si>
  <si>
    <t>Mano de Obra/un.</t>
  </si>
  <si>
    <t>NUMERO DE ARTICULOS</t>
  </si>
  <si>
    <t>Inventarios</t>
  </si>
  <si>
    <t>Ventas del inventario</t>
  </si>
  <si>
    <t>CONCENTRADO DE VENTAS, COSTOS Y GASTOS AÑO 1</t>
  </si>
  <si>
    <t>TOTALES PRECIO DE VENTA PROM. PONDERADO</t>
  </si>
  <si>
    <t>TOTAL COSTO VARIABLE UNIT. PROM. PONDERADO</t>
  </si>
  <si>
    <t>MARGEN DE CONTRIBUCION PROMEDIO PONDERADO POR UNIDAD</t>
  </si>
  <si>
    <t>Margen de contribucion prom. Pond.</t>
  </si>
  <si>
    <t>ESCALABILIDAD EN VENTAS INTEGRAL</t>
  </si>
  <si>
    <t xml:space="preserve">       CAPITAL </t>
  </si>
  <si>
    <t>TOTAL SUELDOS</t>
  </si>
  <si>
    <t>GRAFICAR REDUCCION A PORCIENTOS</t>
  </si>
  <si>
    <t>activos diferidos</t>
  </si>
  <si>
    <t>Punto de Equilibrio en unidades</t>
  </si>
  <si>
    <t>Unidades a producir al año</t>
  </si>
  <si>
    <t>DATOS</t>
  </si>
  <si>
    <t>CALCULOS</t>
  </si>
  <si>
    <t>CONCENTRADO DE FLUJO DE EFECTVO A 5 AÑOS</t>
  </si>
  <si>
    <t>Aportacion c/u</t>
  </si>
  <si>
    <t>NOTA:  SI TIENES MANO DE OBRA POR UNIDAD EN COSTO UNITARIO DE PRODUCCION NO REPETIR EN LA NOMINA COMO COSTO FIJO PORQUE DUPLICAS ESTE GASTO</t>
  </si>
  <si>
    <t>NOTA:  SI EN INVERSION INICIAL TIENES EDIFICIOS PROPIOS Y NO NECESITAS UNA RENTA EXTRA NO SE PONE EN ESTE PRESUPUESTO PORQUE DUPLICAS ESTE GASTO</t>
  </si>
  <si>
    <t>INCREMENTO ANUAL EN PRECIO</t>
  </si>
  <si>
    <t>UTILIDAD ANTES DE INTERESES E IMPUESTOS año 1</t>
  </si>
  <si>
    <t>% Incremento en Ventas total</t>
  </si>
  <si>
    <t>ESTADO DE RESULTADOS %</t>
  </si>
  <si>
    <t>Porcentaje de rendimiento sobre inversion de los socios</t>
  </si>
  <si>
    <t>PUNTO DE EQUILIBRIO NUMERICO</t>
  </si>
  <si>
    <t>PUNTO DE EQUILIBRIO GRAFICO AÑO 1</t>
  </si>
  <si>
    <t>Otros Diferidos</t>
  </si>
  <si>
    <t>1.- Razon Capital de Trabajo =</t>
  </si>
  <si>
    <t xml:space="preserve">FLUJOS DE EFECTIVO  A LARGO PLAZO </t>
  </si>
  <si>
    <t>TOTAL DE COMPRAS del paquete basico</t>
  </si>
  <si>
    <t>pza.</t>
  </si>
  <si>
    <t>PRODUCTOS</t>
  </si>
  <si>
    <t>AÑO  5</t>
  </si>
  <si>
    <t>Nota: para calcular el presupuesto anterior es necesario tener un presupuesto previo de unidades necesarias de materia prima por producto y precio por unidad de medida de materia prima  para llegar a tener el dato de costo variable por unidad.</t>
  </si>
  <si>
    <t>COSTO TOTAL UNITARIO</t>
  </si>
  <si>
    <t>TOTAL SUELDOS FIJOS MAS IMPUESTOS</t>
  </si>
  <si>
    <t xml:space="preserve"> COSTOS DE PRODUCCION Año 1</t>
  </si>
  <si>
    <t>CONCEPTO DE VENTA</t>
  </si>
  <si>
    <t>VENTAS MENSUAL EN DINERO</t>
  </si>
  <si>
    <t>PROMEDIO</t>
  </si>
  <si>
    <t>PROMEDIO DE VENTAS EN UNIDADES AÑO 1</t>
  </si>
  <si>
    <t>PROMEDIO DE VENTAS UNIDADES  MENSUAL</t>
  </si>
  <si>
    <t>PRESUPUESTO DE VENTAS MENSUAL Y ANUAL, ESCALABILIDAD EN VENTAS</t>
  </si>
  <si>
    <t xml:space="preserve">CONCEPTO DE VENTAS Y PRECIO POR UNIDAD </t>
  </si>
  <si>
    <t>P. VENTA Unitario Promedio</t>
  </si>
  <si>
    <t>COSTO  DE PRODUCCION</t>
  </si>
  <si>
    <t>Costos de produccion total</t>
  </si>
  <si>
    <t>Costo unitario Promedio ponderado</t>
  </si>
  <si>
    <t>INGRESOS por venta total anual</t>
  </si>
  <si>
    <t>COSTOS FIJOS ANUALES</t>
  </si>
  <si>
    <t>COSTO UNITARIO  TOTAL (variable+fijo)</t>
  </si>
  <si>
    <t>total</t>
  </si>
  <si>
    <t>Promedio Pond.</t>
  </si>
  <si>
    <t>Amortizacion del Capital</t>
  </si>
  <si>
    <t>costos variables unitarios  (precio por unidad de materia prima y unidad de medida)</t>
  </si>
  <si>
    <t>PRECIO POR UNIDAD DE MEDIDA DE MATERIA PRIMA</t>
  </si>
  <si>
    <t>UNIDAD DE MEDIDA DE MATERIA PRIMA</t>
  </si>
  <si>
    <t>TOTAL NUMERO DE SOCIOS</t>
  </si>
  <si>
    <t>APORTACION DEL CAPITAL SOCIAL</t>
  </si>
  <si>
    <t>MANO DE OBRA DIRECTA POR UNIDAD</t>
  </si>
  <si>
    <t>MAT. PRIMA "A" KILOS</t>
  </si>
  <si>
    <t>MAT. PRIMA "B" KILOS</t>
  </si>
  <si>
    <t>MAT. PRIMA "C" KILOS</t>
  </si>
  <si>
    <t>MAT. PRIMA "D" PIEZAS</t>
  </si>
  <si>
    <t>MAT. PRIMA "E" PIEZAS</t>
  </si>
  <si>
    <t>COSTO TOTAL DE MATERIA PRIMA</t>
  </si>
  <si>
    <t>COSTO TOTAL VARIABLE UNITARIO</t>
  </si>
  <si>
    <t xml:space="preserve">Dividendos por socio  </t>
  </si>
  <si>
    <t>RENDIMIENTO DEL CAPITAL</t>
  </si>
  <si>
    <t>Comparativo precio de venta</t>
  </si>
  <si>
    <t>TIR</t>
  </si>
  <si>
    <t>ESCENARIO</t>
  </si>
  <si>
    <t>% Aportacion por socio</t>
  </si>
  <si>
    <t xml:space="preserve">Disponibilidad            </t>
  </si>
  <si>
    <t>TABLA DE AMORTIZACION CREDITO</t>
  </si>
  <si>
    <t>SOCIO 3</t>
  </si>
  <si>
    <t>SOCIO 4</t>
  </si>
  <si>
    <t>Personal</t>
  </si>
  <si>
    <t>OTROS IMPUESTOS A CARGO DEL PATRON</t>
  </si>
  <si>
    <t xml:space="preserve"> $-  </t>
  </si>
  <si>
    <t xml:space="preserve">   </t>
  </si>
  <si>
    <t xml:space="preserve">  $-   </t>
  </si>
  <si>
    <t>IMPI</t>
  </si>
  <si>
    <t>Acta constitutiva</t>
  </si>
  <si>
    <t>PRECIO UNITARIO</t>
  </si>
  <si>
    <r>
      <rPr>
        <b/>
        <sz val="16"/>
        <rFont val="Times New Roman"/>
        <family val="1"/>
      </rPr>
      <t>PRECIO</t>
    </r>
    <r>
      <rPr>
        <b/>
        <sz val="12"/>
        <rFont val="Times New Roman"/>
        <family val="1"/>
      </rPr>
      <t xml:space="preserve"> DE VENTA POR UNIDAD</t>
    </r>
  </si>
  <si>
    <r>
      <t xml:space="preserve">VENTAS EN </t>
    </r>
    <r>
      <rPr>
        <b/>
        <sz val="16"/>
        <rFont val="Times New Roman"/>
        <family val="1"/>
      </rPr>
      <t>UNIDADES</t>
    </r>
    <r>
      <rPr>
        <b/>
        <sz val="15"/>
        <rFont val="Times New Roman"/>
        <family val="1"/>
      </rPr>
      <t xml:space="preserve"> MENSUAL AÑO 1</t>
    </r>
  </si>
  <si>
    <r>
      <t>PRESUPUESTO DE MATERIA PRIMA EN</t>
    </r>
    <r>
      <rPr>
        <b/>
        <sz val="20"/>
        <rFont val="Times New Roman"/>
        <family val="1"/>
      </rPr>
      <t xml:space="preserve"> DINERO</t>
    </r>
    <r>
      <rPr>
        <b/>
        <sz val="14"/>
        <rFont val="Times New Roman"/>
        <family val="1"/>
      </rPr>
      <t xml:space="preserve"> PARA ELABORAR EL PRODUCTO</t>
    </r>
  </si>
  <si>
    <r>
      <t>Unidades(</t>
    </r>
    <r>
      <rPr>
        <b/>
        <sz val="8"/>
        <rFont val="Times New Roman"/>
        <family val="1"/>
      </rPr>
      <t>MES</t>
    </r>
    <r>
      <rPr>
        <b/>
        <sz val="10"/>
        <rFont val="Times New Roman"/>
        <family val="1"/>
      </rPr>
      <t>)</t>
    </r>
  </si>
  <si>
    <r>
      <t xml:space="preserve">PRESUPUESTO DE VENTAS MENSUAL Y ANUAL EN </t>
    </r>
    <r>
      <rPr>
        <b/>
        <sz val="22"/>
        <color indexed="10"/>
        <rFont val="Times New Roman"/>
        <family val="1"/>
      </rPr>
      <t>UNIDADES  año 1</t>
    </r>
  </si>
  <si>
    <r>
      <t xml:space="preserve">PRESUPUESTO DE VENTAS MENSUAL EN </t>
    </r>
    <r>
      <rPr>
        <b/>
        <sz val="26"/>
        <color indexed="10"/>
        <rFont val="Times New Roman"/>
        <family val="1"/>
      </rPr>
      <t>$ DINERO año 1</t>
    </r>
  </si>
  <si>
    <r>
      <t xml:space="preserve"> INCREMENTO ANUAL DE VENTA EN </t>
    </r>
    <r>
      <rPr>
        <b/>
        <sz val="24"/>
        <color indexed="10"/>
        <rFont val="Times New Roman"/>
        <family val="1"/>
      </rPr>
      <t>UNIDADES</t>
    </r>
    <r>
      <rPr>
        <b/>
        <sz val="15"/>
        <color indexed="10"/>
        <rFont val="Times New Roman"/>
        <family val="1"/>
      </rPr>
      <t xml:space="preserve">   (DEL AÑO ANTERIOR)</t>
    </r>
  </si>
  <si>
    <r>
      <t xml:space="preserve"> INCREMENTO ANUAL DE VENTA EN </t>
    </r>
    <r>
      <rPr>
        <b/>
        <sz val="24"/>
        <color indexed="10"/>
        <rFont val="Times New Roman"/>
        <family val="1"/>
      </rPr>
      <t xml:space="preserve">PRECIO DE VENTA </t>
    </r>
    <r>
      <rPr>
        <b/>
        <sz val="15"/>
        <color indexed="10"/>
        <rFont val="Times New Roman"/>
        <family val="1"/>
      </rPr>
      <t xml:space="preserve">  (DEL AÑO ANTERIOR)</t>
    </r>
  </si>
  <si>
    <r>
      <rPr>
        <b/>
        <sz val="18"/>
        <color indexed="10"/>
        <rFont val="Times New Roman"/>
        <family val="1"/>
      </rPr>
      <t xml:space="preserve"> ESCALABILIDAD ANUAL DE VENTAS INTEGRAL, INNCREMENTO DE UNIDADES MAS PRECIO  </t>
    </r>
    <r>
      <rPr>
        <b/>
        <sz val="15"/>
        <color indexed="10"/>
        <rFont val="Times New Roman"/>
        <family val="1"/>
      </rPr>
      <t xml:space="preserve"> </t>
    </r>
  </si>
  <si>
    <r>
      <t>COSTO DE MATERIA PRIMA EN</t>
    </r>
    <r>
      <rPr>
        <b/>
        <sz val="20"/>
        <color indexed="10"/>
        <rFont val="Times New Roman"/>
        <family val="1"/>
      </rPr>
      <t xml:space="preserve"> DINERO</t>
    </r>
    <r>
      <rPr>
        <b/>
        <sz val="14"/>
        <color indexed="10"/>
        <rFont val="Times New Roman"/>
        <family val="1"/>
      </rPr>
      <t xml:space="preserve"> POR UNIDAD DE MEDIDA</t>
    </r>
  </si>
  <si>
    <r>
      <t xml:space="preserve">PRESUPUESTO DE MATERIA PRIMA POR </t>
    </r>
    <r>
      <rPr>
        <b/>
        <sz val="20"/>
        <color indexed="10"/>
        <rFont val="Times New Roman"/>
        <family val="1"/>
      </rPr>
      <t>UNIDADES</t>
    </r>
    <r>
      <rPr>
        <b/>
        <sz val="14"/>
        <color indexed="10"/>
        <rFont val="Times New Roman"/>
        <family val="1"/>
      </rPr>
      <t xml:space="preserve"> PARA ELABORAR EL PRODUCTO</t>
    </r>
  </si>
  <si>
    <r>
      <t xml:space="preserve">PRESUPUEST0  DE COMPRAS EN </t>
    </r>
    <r>
      <rPr>
        <b/>
        <u/>
        <sz val="15"/>
        <color indexed="10"/>
        <rFont val="Times New Roman"/>
        <family val="1"/>
      </rPr>
      <t>UNIDADES</t>
    </r>
    <r>
      <rPr>
        <b/>
        <sz val="15"/>
        <color indexed="10"/>
        <rFont val="Times New Roman"/>
        <family val="1"/>
      </rPr>
      <t xml:space="preserve">  AÑO   1</t>
    </r>
  </si>
  <si>
    <r>
      <t xml:space="preserve">PRESUPUEST0  DE COMPRAS  EN </t>
    </r>
    <r>
      <rPr>
        <b/>
        <u/>
        <sz val="15"/>
        <color indexed="10"/>
        <rFont val="Times New Roman"/>
        <family val="1"/>
      </rPr>
      <t>DINERO</t>
    </r>
    <r>
      <rPr>
        <b/>
        <sz val="15"/>
        <color indexed="10"/>
        <rFont val="Times New Roman"/>
        <family val="1"/>
      </rPr>
      <t xml:space="preserve"> AÑO   1</t>
    </r>
  </si>
  <si>
    <t xml:space="preserve">Comisión </t>
  </si>
  <si>
    <t>Mercadotecnia</t>
  </si>
  <si>
    <t>A=P+C</t>
  </si>
  <si>
    <t>Impresora multifuncional HP Officejet Pro 9010</t>
  </si>
  <si>
    <t>RENDIMIENTO SOBRE INVERSION POR SOCIO</t>
  </si>
  <si>
    <t>MacBook Pro Intel Core i5  1.4 GHz 8 GB</t>
  </si>
  <si>
    <t>iMac Escritorio 27 " 3.1Ghz 256gb i5</t>
  </si>
  <si>
    <t>Monitor 27 pulgadas</t>
  </si>
  <si>
    <t>Lenovo Laptop Ideapad 15.6" con Pantalla Táctil 8GB SSD 256GB Intel i3-10110U 81WR000FUS Azul Abismo</t>
  </si>
  <si>
    <t>Itzel Anaid Ortega Llanderal</t>
  </si>
  <si>
    <t>Juan Pedro Llantada Lopez</t>
  </si>
  <si>
    <t>Papeleria</t>
  </si>
  <si>
    <t>Credenciales App Store</t>
  </si>
  <si>
    <t>Membresia de Play Store</t>
  </si>
  <si>
    <t>APP</t>
  </si>
  <si>
    <t>Plataforma</t>
  </si>
  <si>
    <t>Redes sociales</t>
  </si>
  <si>
    <t>Servidores</t>
  </si>
  <si>
    <t>Contadora</t>
  </si>
  <si>
    <t>Marketing Redes sociales</t>
  </si>
  <si>
    <t>Full stack developer</t>
  </si>
  <si>
    <t xml:space="preserve">Renta </t>
  </si>
  <si>
    <t xml:space="preserve">Seguridad </t>
  </si>
  <si>
    <t xml:space="preserve">Legal </t>
  </si>
  <si>
    <t xml:space="preserve">Lanzamiento de marca </t>
  </si>
  <si>
    <t>3 años 2 meses</t>
  </si>
  <si>
    <t xml:space="preserve">Construcción </t>
  </si>
  <si>
    <t>Welcome party</t>
  </si>
  <si>
    <t>Boda</t>
  </si>
  <si>
    <t>Hora extra</t>
  </si>
  <si>
    <t>Club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</si>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</sst>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00"/>
    <numFmt numFmtId="166" formatCode="&quot;$&quot;#,##0.00"/>
    <numFmt numFmtId="167" formatCode="0.0000"/>
    <numFmt numFmtId="168" formatCode="[$$-80A]#,##0.00"/>
    <numFmt numFmtId="169" formatCode="&quot;$&quot;#,##0.00;[Red]&quot;$&quot;#,##0.00"/>
    <numFmt numFmtId="170" formatCode="_-[$€-2]* #,##0.00_-;\-[$€-2]* #,##0.00_-;_-[$€-2]* &quot;-&quot;??_-"/>
    <numFmt numFmtId="171" formatCode="#,##0.00_ ;\-#,##0.00\ "/>
    <numFmt numFmtId="172" formatCode="_-&quot;$&quot;* #,##0.00_-;\-&quot;$&quot;* #,##0.00_-;_-&quot;$&quot;* &quot;-&quot;_-;_-@_-"/>
    <numFmt numFmtId="173" formatCode="_-* #,##0.000000_-;\-* #,##0.000000_-;_-* &quot;-&quot;??_-;_-@_-"/>
    <numFmt numFmtId="174" formatCode="_-&quot;$&quot;* #,##0_-;\-&quot;$&quot;* #,##0_-;_-&quot;$&quot;* &quot;-&quot;??_-;_-@_-"/>
    <numFmt numFmtId="175" formatCode="&quot;$&quot;#,##0"/>
    <numFmt numFmtId="176" formatCode="0.00000"/>
    <numFmt numFmtId="177" formatCode="#,##0_ ;[Red]\-#,##0\ "/>
    <numFmt numFmtId="178" formatCode="#,##0.00000"/>
    <numFmt numFmtId="179" formatCode="0.0%"/>
    <numFmt numFmtId="180" formatCode="_ &quot;$&quot;\ * #,##0.00_ ;_ &quot;$&quot;\ * \-#,##0.00_ ;_ &quot;$&quot;\ * &quot;-&quot;??_ ;_ @_ "/>
  </numFmts>
  <fonts count="120">
    <font>
      <sz val="10"/>
      <name val="Courie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Courier"/>
      <family val="1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i/>
      <sz val="12"/>
      <name val="Arial"/>
      <family val="2"/>
    </font>
    <font>
      <b/>
      <sz val="20"/>
      <name val="Arial"/>
      <family val="2"/>
    </font>
    <font>
      <sz val="8"/>
      <name val="Courier"/>
      <family val="3"/>
    </font>
    <font>
      <sz val="8"/>
      <color indexed="9"/>
      <name val="Arial Narrow"/>
      <family val="2"/>
    </font>
    <font>
      <sz val="8"/>
      <color indexed="9"/>
      <name val="Courier"/>
      <family val="3"/>
    </font>
    <font>
      <sz val="10"/>
      <name val="Courier"/>
      <family val="1"/>
    </font>
    <font>
      <sz val="13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10"/>
      <name val="Courier"/>
      <family val="3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8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5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24"/>
      <color indexed="10"/>
      <name val="Times New Roman"/>
      <family val="1"/>
    </font>
    <font>
      <u/>
      <sz val="9"/>
      <name val="Times New Roman"/>
      <family val="1"/>
    </font>
    <font>
      <b/>
      <u/>
      <sz val="15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10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0"/>
      <name val="Times Roman"/>
    </font>
    <font>
      <sz val="12"/>
      <name val="Times Roman"/>
    </font>
    <font>
      <sz val="22"/>
      <name val="Times New Roman"/>
      <family val="1"/>
    </font>
    <font>
      <sz val="11"/>
      <color theme="1"/>
      <name val="Calibri"/>
      <family val="2"/>
      <scheme val="minor"/>
    </font>
    <font>
      <sz val="8"/>
      <color theme="9"/>
      <name val="Tahoma"/>
      <family val="2"/>
    </font>
    <font>
      <sz val="8"/>
      <color rgb="FFFF0000"/>
      <name val="Courier"/>
      <family val="3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8"/>
      <color rgb="FFFF0000"/>
      <name val="Tahoma"/>
      <family val="2"/>
    </font>
    <font>
      <sz val="10"/>
      <color rgb="FFC0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2"/>
      <color rgb="FFFF0000"/>
      <name val="Times New Roman"/>
      <family val="1"/>
    </font>
    <font>
      <b/>
      <sz val="9"/>
      <color theme="0"/>
      <name val="Times New Roman"/>
      <family val="1"/>
    </font>
    <font>
      <sz val="14"/>
      <color theme="0"/>
      <name val="Times New Roman"/>
      <family val="1"/>
    </font>
    <font>
      <b/>
      <sz val="10"/>
      <color rgb="FFC00000"/>
      <name val="Times New Roman"/>
      <family val="1"/>
    </font>
    <font>
      <sz val="12"/>
      <color rgb="FFC00000"/>
      <name val="Arial"/>
      <family val="2"/>
    </font>
    <font>
      <sz val="8"/>
      <color rgb="FFC00000"/>
      <name val="Arial"/>
      <family val="2"/>
    </font>
    <font>
      <b/>
      <sz val="12"/>
      <color rgb="FFC0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C00000"/>
      <name val="Tahoma"/>
      <family val="2"/>
    </font>
    <font>
      <b/>
      <sz val="10"/>
      <color theme="0"/>
      <name val="Tahoma"/>
      <family val="2"/>
    </font>
    <font>
      <sz val="10"/>
      <color rgb="FFC00000"/>
      <name val="Tahoma"/>
      <family val="2"/>
    </font>
    <font>
      <sz val="10"/>
      <color theme="0"/>
      <name val="Tahoma"/>
      <family val="2"/>
    </font>
    <font>
      <b/>
      <sz val="10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5"/>
      <color rgb="FFFF0000"/>
      <name val="Times New Roman"/>
      <family val="1"/>
    </font>
    <font>
      <sz val="12"/>
      <color theme="0"/>
      <name val="Times New Roman"/>
      <family val="1"/>
    </font>
    <font>
      <b/>
      <sz val="12"/>
      <color rgb="FFC00000"/>
      <name val="Times New Roman"/>
      <family val="1"/>
    </font>
    <font>
      <b/>
      <sz val="15"/>
      <color rgb="FFC00000"/>
      <name val="Times New Roman"/>
      <family val="1"/>
    </font>
    <font>
      <b/>
      <sz val="14"/>
      <color rgb="FFC0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sz val="12"/>
      <color rgb="FFC00000"/>
      <name val="Tahoma"/>
      <family val="2"/>
    </font>
    <font>
      <b/>
      <sz val="8"/>
      <color rgb="FFC00000"/>
      <name val="Tahoma"/>
      <family val="2"/>
    </font>
    <font>
      <sz val="8"/>
      <color rgb="FFC00000"/>
      <name val="Tahoma"/>
      <family val="2"/>
    </font>
    <font>
      <b/>
      <i/>
      <sz val="14"/>
      <color rgb="FFC00000"/>
      <name val="Times New Roman"/>
      <family val="1"/>
    </font>
    <font>
      <b/>
      <sz val="20"/>
      <color rgb="FFC00000"/>
      <name val="Arial"/>
      <family val="2"/>
    </font>
    <font>
      <b/>
      <sz val="14"/>
      <color rgb="FFC00000"/>
      <name val="Arial"/>
      <family val="2"/>
    </font>
    <font>
      <b/>
      <sz val="14"/>
      <color rgb="FFC00000"/>
      <name val="Tahoma"/>
      <family val="2"/>
    </font>
    <font>
      <b/>
      <sz val="9"/>
      <color rgb="FFC0000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2"/>
      </left>
      <right style="medium">
        <color indexed="64"/>
      </right>
      <top style="medium">
        <color indexed="64"/>
      </top>
      <bottom/>
      <diagonal/>
    </border>
    <border>
      <left style="thick">
        <color indexed="62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2"/>
      </left>
      <right style="thick">
        <color indexed="62"/>
      </right>
      <top style="medium">
        <color indexed="64"/>
      </top>
      <bottom/>
      <diagonal/>
    </border>
    <border>
      <left style="thick">
        <color indexed="62"/>
      </left>
      <right style="thick">
        <color indexed="6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2"/>
      </right>
      <top style="medium">
        <color indexed="64"/>
      </top>
      <bottom/>
      <diagonal/>
    </border>
    <border>
      <left style="medium">
        <color indexed="64"/>
      </left>
      <right style="thick">
        <color indexed="62"/>
      </right>
      <top/>
      <bottom style="medium">
        <color indexed="64"/>
      </bottom>
      <diagonal/>
    </border>
    <border>
      <left/>
      <right style="thick">
        <color indexed="62"/>
      </right>
      <top style="medium">
        <color indexed="64"/>
      </top>
      <bottom/>
      <diagonal/>
    </border>
    <border>
      <left/>
      <right style="thick">
        <color indexed="62"/>
      </right>
      <top/>
      <bottom style="medium">
        <color indexed="64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/>
      <top/>
      <bottom style="thick">
        <color indexed="62"/>
      </bottom>
      <diagonal/>
    </border>
    <border>
      <left style="medium">
        <color indexed="64"/>
      </left>
      <right/>
      <top/>
      <bottom style="thick">
        <color indexed="62"/>
      </bottom>
      <diagonal/>
    </border>
    <border>
      <left/>
      <right style="thick">
        <color indexed="62"/>
      </right>
      <top/>
      <bottom style="thick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2"/>
      </right>
      <top/>
      <bottom style="thick">
        <color indexed="62"/>
      </bottom>
      <diagonal/>
    </border>
    <border>
      <left style="medium">
        <color indexed="64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 style="medium">
        <color indexed="64"/>
      </right>
      <top style="thick">
        <color indexed="62"/>
      </top>
      <bottom/>
      <diagonal/>
    </border>
    <border>
      <left style="thick">
        <color indexed="62"/>
      </left>
      <right style="medium">
        <color indexed="64"/>
      </right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7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/>
    <xf numFmtId="0" fontId="2" fillId="0" borderId="0"/>
    <xf numFmtId="0" fontId="70" fillId="0" borderId="0"/>
    <xf numFmtId="0" fontId="2" fillId="0" borderId="0"/>
    <xf numFmtId="9" fontId="3" fillId="0" borderId="0" applyFont="0" applyFill="0" applyBorder="0" applyAlignment="0" applyProtection="0"/>
  </cellStyleXfs>
  <cellXfs count="1406">
    <xf numFmtId="0" fontId="0" fillId="0" borderId="0" xfId="0"/>
    <xf numFmtId="0" fontId="4" fillId="0" borderId="0" xfId="0" applyFont="1"/>
    <xf numFmtId="0" fontId="0" fillId="0" borderId="0" xfId="0" applyBorder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Fill="1"/>
    <xf numFmtId="0" fontId="9" fillId="0" borderId="0" xfId="0" applyFont="1"/>
    <xf numFmtId="0" fontId="10" fillId="0" borderId="0" xfId="0" applyFont="1"/>
    <xf numFmtId="0" fontId="4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/>
    <xf numFmtId="0" fontId="12" fillId="0" borderId="2" xfId="0" applyFont="1" applyBorder="1"/>
    <xf numFmtId="0" fontId="12" fillId="0" borderId="0" xfId="0" applyFont="1" applyBorder="1"/>
    <xf numFmtId="44" fontId="12" fillId="0" borderId="0" xfId="0" applyNumberFormat="1" applyFont="1"/>
    <xf numFmtId="4" fontId="12" fillId="0" borderId="0" xfId="0" applyNumberFormat="1" applyFont="1"/>
    <xf numFmtId="0" fontId="12" fillId="0" borderId="3" xfId="0" applyFont="1" applyBorder="1"/>
    <xf numFmtId="4" fontId="12" fillId="0" borderId="3" xfId="0" applyNumberFormat="1" applyFont="1" applyBorder="1"/>
    <xf numFmtId="0" fontId="12" fillId="0" borderId="4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6" xfId="0" applyFont="1" applyBorder="1"/>
    <xf numFmtId="0" fontId="13" fillId="0" borderId="2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2" fontId="12" fillId="0" borderId="0" xfId="0" applyNumberFormat="1" applyFont="1" applyBorder="1" applyAlignment="1">
      <alignment vertical="center" wrapText="1"/>
    </xf>
    <xf numFmtId="4" fontId="12" fillId="0" borderId="3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2" fontId="13" fillId="0" borderId="0" xfId="0" applyNumberFormat="1" applyFont="1" applyBorder="1" applyAlignment="1">
      <alignment vertical="center" wrapText="1"/>
    </xf>
    <xf numFmtId="8" fontId="12" fillId="0" borderId="0" xfId="0" applyNumberFormat="1" applyFont="1"/>
    <xf numFmtId="0" fontId="13" fillId="0" borderId="0" xfId="0" applyFont="1" applyAlignment="1"/>
    <xf numFmtId="44" fontId="13" fillId="0" borderId="0" xfId="0" applyNumberFormat="1" applyFont="1" applyFill="1" applyBorder="1" applyAlignment="1"/>
    <xf numFmtId="44" fontId="13" fillId="0" borderId="0" xfId="4" applyNumberFormat="1" applyFont="1" applyFill="1" applyBorder="1" applyAlignment="1">
      <alignment horizontal="center"/>
    </xf>
    <xf numFmtId="0" fontId="13" fillId="0" borderId="0" xfId="0" applyFont="1"/>
    <xf numFmtId="4" fontId="12" fillId="0" borderId="0" xfId="0" applyNumberFormat="1" applyFont="1" applyBorder="1" applyAlignment="1">
      <alignment vertical="center" wrapText="1"/>
    </xf>
    <xf numFmtId="0" fontId="4" fillId="2" borderId="0" xfId="0" applyFont="1" applyFill="1"/>
    <xf numFmtId="0" fontId="10" fillId="2" borderId="0" xfId="0" applyFont="1" applyFill="1" applyAlignment="1">
      <alignment horizontal="center"/>
    </xf>
    <xf numFmtId="0" fontId="9" fillId="2" borderId="0" xfId="0" applyFont="1" applyFill="1"/>
    <xf numFmtId="0" fontId="1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Border="1"/>
    <xf numFmtId="0" fontId="16" fillId="2" borderId="0" xfId="0" applyFont="1" applyFill="1" applyAlignment="1">
      <alignment horizontal="center"/>
    </xf>
    <xf numFmtId="2" fontId="16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2" borderId="0" xfId="0" applyFont="1" applyFill="1"/>
    <xf numFmtId="0" fontId="0" fillId="0" borderId="7" xfId="0" applyBorder="1"/>
    <xf numFmtId="0" fontId="12" fillId="0" borderId="0" xfId="0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4" fontId="13" fillId="0" borderId="3" xfId="0" applyNumberFormat="1" applyFont="1" applyBorder="1"/>
    <xf numFmtId="9" fontId="12" fillId="0" borderId="3" xfId="10" applyFont="1" applyBorder="1" applyAlignment="1">
      <alignment horizontal="center"/>
    </xf>
    <xf numFmtId="4" fontId="12" fillId="0" borderId="8" xfId="0" applyNumberFormat="1" applyFont="1" applyBorder="1"/>
    <xf numFmtId="4" fontId="12" fillId="0" borderId="9" xfId="0" applyNumberFormat="1" applyFont="1" applyBorder="1"/>
    <xf numFmtId="4" fontId="12" fillId="0" borderId="10" xfId="0" applyNumberFormat="1" applyFont="1" applyBorder="1"/>
    <xf numFmtId="0" fontId="0" fillId="0" borderId="11" xfId="0" applyBorder="1"/>
    <xf numFmtId="0" fontId="13" fillId="0" borderId="4" xfId="0" applyFont="1" applyBorder="1" applyAlignment="1">
      <alignment horizontal="right"/>
    </xf>
    <xf numFmtId="0" fontId="13" fillId="0" borderId="12" xfId="0" applyFont="1" applyBorder="1"/>
    <xf numFmtId="0" fontId="13" fillId="0" borderId="2" xfId="0" applyFont="1" applyFill="1" applyBorder="1"/>
    <xf numFmtId="4" fontId="13" fillId="0" borderId="13" xfId="0" applyNumberFormat="1" applyFont="1" applyBorder="1"/>
    <xf numFmtId="0" fontId="18" fillId="2" borderId="14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9" fillId="0" borderId="0" xfId="0" applyFont="1"/>
    <xf numFmtId="4" fontId="15" fillId="0" borderId="17" xfId="0" applyNumberFormat="1" applyFont="1" applyBorder="1" applyAlignment="1">
      <alignment wrapText="1"/>
    </xf>
    <xf numFmtId="4" fontId="15" fillId="0" borderId="3" xfId="0" applyNumberFormat="1" applyFont="1" applyBorder="1" applyAlignment="1">
      <alignment wrapText="1"/>
    </xf>
    <xf numFmtId="169" fontId="5" fillId="2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44" fontId="19" fillId="2" borderId="0" xfId="0" applyNumberFormat="1" applyFont="1" applyFill="1" applyBorder="1"/>
    <xf numFmtId="0" fontId="15" fillId="0" borderId="0" xfId="0" applyFont="1"/>
    <xf numFmtId="42" fontId="19" fillId="2" borderId="0" xfId="0" applyNumberFormat="1" applyFont="1" applyFill="1" applyBorder="1"/>
    <xf numFmtId="172" fontId="5" fillId="2" borderId="0" xfId="0" applyNumberFormat="1" applyFont="1" applyFill="1" applyBorder="1" applyAlignment="1">
      <alignment wrapText="1"/>
    </xf>
    <xf numFmtId="42" fontId="5" fillId="2" borderId="0" xfId="0" applyNumberFormat="1" applyFont="1" applyFill="1" applyBorder="1" applyAlignment="1">
      <alignment wrapText="1"/>
    </xf>
    <xf numFmtId="3" fontId="19" fillId="2" borderId="0" xfId="0" applyNumberFormat="1" applyFont="1" applyFill="1" applyBorder="1"/>
    <xf numFmtId="172" fontId="19" fillId="2" borderId="0" xfId="0" applyNumberFormat="1" applyFont="1" applyFill="1" applyBorder="1"/>
    <xf numFmtId="42" fontId="20" fillId="2" borderId="0" xfId="0" applyNumberFormat="1" applyFont="1" applyFill="1" applyBorder="1" applyAlignment="1">
      <alignment wrapText="1"/>
    </xf>
    <xf numFmtId="4" fontId="15" fillId="0" borderId="3" xfId="0" applyNumberFormat="1" applyFont="1" applyBorder="1" applyAlignment="1">
      <alignment horizontal="right" wrapText="1"/>
    </xf>
    <xf numFmtId="42" fontId="21" fillId="2" borderId="0" xfId="0" applyNumberFormat="1" applyFont="1" applyFill="1" applyBorder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42" fontId="6" fillId="2" borderId="0" xfId="0" applyNumberFormat="1" applyFont="1" applyFill="1" applyBorder="1" applyAlignment="1">
      <alignment wrapText="1"/>
    </xf>
    <xf numFmtId="0" fontId="22" fillId="0" borderId="0" xfId="0" applyFont="1"/>
    <xf numFmtId="44" fontId="0" fillId="0" borderId="0" xfId="0" applyNumberFormat="1"/>
    <xf numFmtId="44" fontId="12" fillId="0" borderId="0" xfId="0" applyNumberFormat="1" applyFont="1" applyFill="1" applyBorder="1" applyAlignment="1"/>
    <xf numFmtId="43" fontId="0" fillId="0" borderId="0" xfId="0" applyNumberFormat="1"/>
    <xf numFmtId="42" fontId="12" fillId="2" borderId="3" xfId="0" applyNumberFormat="1" applyFont="1" applyFill="1" applyBorder="1" applyAlignment="1">
      <alignment vertical="center" wrapText="1"/>
    </xf>
    <xf numFmtId="4" fontId="13" fillId="0" borderId="18" xfId="0" applyNumberFormat="1" applyFont="1" applyBorder="1"/>
    <xf numFmtId="4" fontId="12" fillId="0" borderId="19" xfId="0" applyNumberFormat="1" applyFont="1" applyBorder="1"/>
    <xf numFmtId="0" fontId="0" fillId="0" borderId="4" xfId="0" applyBorder="1"/>
    <xf numFmtId="0" fontId="12" fillId="0" borderId="5" xfId="0" applyFont="1" applyBorder="1" applyAlignment="1"/>
    <xf numFmtId="0" fontId="12" fillId="0" borderId="4" xfId="0" applyFont="1" applyBorder="1" applyAlignment="1"/>
    <xf numFmtId="2" fontId="16" fillId="0" borderId="0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9" fontId="12" fillId="0" borderId="18" xfId="10" applyFont="1" applyBorder="1" applyAlignment="1">
      <alignment horizontal="center"/>
    </xf>
    <xf numFmtId="9" fontId="12" fillId="0" borderId="18" xfId="0" applyNumberFormat="1" applyFont="1" applyBorder="1" applyAlignment="1">
      <alignment horizontal="center"/>
    </xf>
    <xf numFmtId="9" fontId="12" fillId="0" borderId="18" xfId="0" quotePrefix="1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" fontId="12" fillId="0" borderId="18" xfId="0" applyNumberFormat="1" applyFont="1" applyBorder="1"/>
    <xf numFmtId="0" fontId="12" fillId="0" borderId="18" xfId="0" applyFont="1" applyBorder="1"/>
    <xf numFmtId="0" fontId="12" fillId="0" borderId="3" xfId="0" applyFont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6" fillId="5" borderId="0" xfId="0" applyFont="1" applyFill="1"/>
    <xf numFmtId="0" fontId="13" fillId="0" borderId="4" xfId="0" quotePrefix="1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/>
    </xf>
    <xf numFmtId="44" fontId="12" fillId="0" borderId="20" xfId="4" applyNumberFormat="1" applyFont="1" applyFill="1" applyBorder="1" applyAlignment="1">
      <alignment horizontal="center"/>
    </xf>
    <xf numFmtId="44" fontId="12" fillId="0" borderId="13" xfId="0" applyNumberFormat="1" applyFont="1" applyFill="1" applyBorder="1" applyAlignment="1"/>
    <xf numFmtId="0" fontId="12" fillId="0" borderId="21" xfId="0" applyFont="1" applyBorder="1" applyAlignment="1">
      <alignment vertical="center" wrapText="1"/>
    </xf>
    <xf numFmtId="4" fontId="12" fillId="0" borderId="22" xfId="0" applyNumberFormat="1" applyFont="1" applyBorder="1" applyAlignment="1">
      <alignment vertical="center" wrapText="1"/>
    </xf>
    <xf numFmtId="4" fontId="12" fillId="0" borderId="23" xfId="0" applyNumberFormat="1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4" fontId="12" fillId="0" borderId="18" xfId="0" applyNumberFormat="1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4" fontId="12" fillId="0" borderId="24" xfId="0" applyNumberFormat="1" applyFont="1" applyBorder="1" applyAlignment="1">
      <alignment vertical="center" wrapText="1"/>
    </xf>
    <xf numFmtId="0" fontId="13" fillId="2" borderId="24" xfId="0" applyFont="1" applyFill="1" applyBorder="1" applyAlignment="1">
      <alignment vertical="center" wrapText="1"/>
    </xf>
    <xf numFmtId="42" fontId="12" fillId="2" borderId="18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4" fontId="15" fillId="0" borderId="0" xfId="0" applyNumberFormat="1" applyFont="1"/>
    <xf numFmtId="0" fontId="14" fillId="0" borderId="25" xfId="0" applyFont="1" applyBorder="1" applyAlignment="1">
      <alignment wrapText="1"/>
    </xf>
    <xf numFmtId="4" fontId="15" fillId="0" borderId="26" xfId="0" applyNumberFormat="1" applyFont="1" applyBorder="1" applyAlignment="1">
      <alignment wrapText="1"/>
    </xf>
    <xf numFmtId="0" fontId="15" fillId="0" borderId="24" xfId="0" applyFont="1" applyBorder="1" applyAlignment="1">
      <alignment vertical="center" wrapText="1"/>
    </xf>
    <xf numFmtId="4" fontId="15" fillId="0" borderId="18" xfId="0" applyNumberFormat="1" applyFont="1" applyBorder="1" applyAlignment="1">
      <alignment wrapText="1"/>
    </xf>
    <xf numFmtId="0" fontId="14" fillId="0" borderId="24" xfId="0" applyFont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0" fillId="2" borderId="24" xfId="0" applyFont="1" applyFill="1" applyBorder="1" applyAlignment="1">
      <alignment vertical="center" wrapText="1"/>
    </xf>
    <xf numFmtId="0" fontId="71" fillId="0" borderId="0" xfId="0" applyFont="1"/>
    <xf numFmtId="0" fontId="12" fillId="0" borderId="0" xfId="0" applyFont="1" applyAlignment="1">
      <alignment horizontal="right"/>
    </xf>
    <xf numFmtId="4" fontId="19" fillId="2" borderId="0" xfId="0" applyNumberFormat="1" applyFont="1" applyFill="1" applyBorder="1"/>
    <xf numFmtId="0" fontId="72" fillId="2" borderId="0" xfId="0" applyFont="1" applyFill="1" applyBorder="1"/>
    <xf numFmtId="0" fontId="73" fillId="0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6" fillId="0" borderId="27" xfId="0" applyFont="1" applyBorder="1" applyAlignment="1">
      <alignment horizontal="center"/>
    </xf>
    <xf numFmtId="0" fontId="11" fillId="0" borderId="0" xfId="0" applyFont="1"/>
    <xf numFmtId="0" fontId="27" fillId="0" borderId="0" xfId="0" applyFont="1" applyFill="1"/>
    <xf numFmtId="0" fontId="0" fillId="6" borderId="10" xfId="0" applyFill="1" applyBorder="1"/>
    <xf numFmtId="0" fontId="23" fillId="7" borderId="2" xfId="0" applyFont="1" applyFill="1" applyBorder="1"/>
    <xf numFmtId="44" fontId="14" fillId="8" borderId="18" xfId="0" applyNumberFormat="1" applyFont="1" applyFill="1" applyBorder="1" applyAlignment="1">
      <alignment wrapText="1"/>
    </xf>
    <xf numFmtId="0" fontId="26" fillId="8" borderId="10" xfId="0" applyFont="1" applyFill="1" applyBorder="1"/>
    <xf numFmtId="0" fontId="18" fillId="2" borderId="5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29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4" fillId="0" borderId="6" xfId="0" applyFont="1" applyBorder="1"/>
    <xf numFmtId="0" fontId="4" fillId="0" borderId="20" xfId="0" applyFont="1" applyBorder="1"/>
    <xf numFmtId="0" fontId="16" fillId="0" borderId="0" xfId="0" applyFont="1" applyBorder="1" applyAlignment="1">
      <alignment horizontal="center"/>
    </xf>
    <xf numFmtId="0" fontId="75" fillId="0" borderId="0" xfId="0" applyFont="1" applyAlignment="1">
      <alignment horizontal="center"/>
    </xf>
    <xf numFmtId="43" fontId="12" fillId="6" borderId="21" xfId="0" applyNumberFormat="1" applyFont="1" applyFill="1" applyBorder="1"/>
    <xf numFmtId="9" fontId="12" fillId="6" borderId="23" xfId="0" applyNumberFormat="1" applyFont="1" applyFill="1" applyBorder="1"/>
    <xf numFmtId="0" fontId="12" fillId="6" borderId="24" xfId="0" applyFont="1" applyFill="1" applyBorder="1"/>
    <xf numFmtId="9" fontId="12" fillId="6" borderId="18" xfId="0" applyNumberFormat="1" applyFont="1" applyFill="1" applyBorder="1"/>
    <xf numFmtId="171" fontId="12" fillId="6" borderId="3" xfId="0" applyNumberFormat="1" applyFont="1" applyFill="1" applyBorder="1" applyAlignment="1">
      <alignment horizontal="center"/>
    </xf>
    <xf numFmtId="44" fontId="12" fillId="6" borderId="3" xfId="0" applyNumberFormat="1" applyFont="1" applyFill="1" applyBorder="1" applyAlignment="1"/>
    <xf numFmtId="0" fontId="9" fillId="0" borderId="27" xfId="0" applyFont="1" applyBorder="1"/>
    <xf numFmtId="0" fontId="16" fillId="0" borderId="30" xfId="0" applyFont="1" applyBorder="1" applyAlignment="1">
      <alignment horizontal="center"/>
    </xf>
    <xf numFmtId="0" fontId="9" fillId="0" borderId="31" xfId="0" applyFont="1" applyBorder="1"/>
    <xf numFmtId="0" fontId="18" fillId="2" borderId="32" xfId="0" applyFont="1" applyFill="1" applyBorder="1" applyAlignment="1">
      <alignment horizontal="center"/>
    </xf>
    <xf numFmtId="0" fontId="18" fillId="2" borderId="3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/>
    <xf numFmtId="0" fontId="16" fillId="0" borderId="2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3" fillId="0" borderId="24" xfId="0" applyFont="1" applyBorder="1"/>
    <xf numFmtId="164" fontId="0" fillId="0" borderId="0" xfId="0" applyNumberFormat="1"/>
    <xf numFmtId="1" fontId="16" fillId="0" borderId="0" xfId="0" applyNumberFormat="1" applyFont="1"/>
    <xf numFmtId="166" fontId="16" fillId="0" borderId="3" xfId="4" applyNumberFormat="1" applyFont="1" applyBorder="1" applyAlignment="1"/>
    <xf numFmtId="166" fontId="17" fillId="0" borderId="3" xfId="0" applyNumberFormat="1" applyFont="1" applyBorder="1" applyAlignment="1"/>
    <xf numFmtId="1" fontId="16" fillId="0" borderId="3" xfId="0" applyNumberFormat="1" applyFont="1" applyBorder="1" applyAlignment="1"/>
    <xf numFmtId="0" fontId="8" fillId="0" borderId="14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13" fillId="0" borderId="24" xfId="0" applyFont="1" applyFill="1" applyBorder="1" applyAlignment="1">
      <alignment horizontal="right" vertical="center" wrapText="1"/>
    </xf>
    <xf numFmtId="4" fontId="76" fillId="0" borderId="0" xfId="0" applyNumberFormat="1" applyFont="1"/>
    <xf numFmtId="164" fontId="12" fillId="0" borderId="0" xfId="0" applyNumberFormat="1" applyFont="1"/>
    <xf numFmtId="164" fontId="12" fillId="6" borderId="3" xfId="0" applyNumberFormat="1" applyFont="1" applyFill="1" applyBorder="1" applyAlignment="1">
      <alignment horizontal="center"/>
    </xf>
    <xf numFmtId="0" fontId="16" fillId="0" borderId="25" xfId="0" applyFont="1" applyBorder="1" applyAlignment="1">
      <alignment horizontal="center"/>
    </xf>
    <xf numFmtId="43" fontId="12" fillId="0" borderId="0" xfId="0" applyNumberFormat="1" applyFont="1"/>
    <xf numFmtId="0" fontId="29" fillId="6" borderId="11" xfId="0" applyFont="1" applyFill="1" applyBorder="1"/>
    <xf numFmtId="0" fontId="29" fillId="6" borderId="35" xfId="0" applyFont="1" applyFill="1" applyBorder="1"/>
    <xf numFmtId="0" fontId="29" fillId="0" borderId="0" xfId="0" applyFont="1"/>
    <xf numFmtId="0" fontId="77" fillId="0" borderId="4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7" xfId="0" applyFont="1" applyBorder="1" applyAlignment="1">
      <alignment horizontal="center"/>
    </xf>
    <xf numFmtId="0" fontId="31" fillId="0" borderId="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174" fontId="29" fillId="0" borderId="0" xfId="4" applyNumberFormat="1" applyFont="1" applyBorder="1" applyAlignment="1"/>
    <xf numFmtId="0" fontId="29" fillId="6" borderId="12" xfId="0" applyFont="1" applyFill="1" applyBorder="1" applyAlignment="1">
      <alignment horizontal="left"/>
    </xf>
    <xf numFmtId="0" fontId="29" fillId="6" borderId="9" xfId="0" applyFont="1" applyFill="1" applyBorder="1" applyAlignment="1">
      <alignment horizontal="center"/>
    </xf>
    <xf numFmtId="44" fontId="29" fillId="6" borderId="10" xfId="4" applyFont="1" applyFill="1" applyBorder="1" applyAlignment="1">
      <alignment horizontal="right"/>
    </xf>
    <xf numFmtId="3" fontId="29" fillId="0" borderId="0" xfId="0" applyNumberFormat="1" applyFont="1" applyBorder="1" applyAlignment="1"/>
    <xf numFmtId="44" fontId="78" fillId="9" borderId="36" xfId="4" applyFont="1" applyFill="1" applyBorder="1" applyAlignment="1"/>
    <xf numFmtId="0" fontId="29" fillId="0" borderId="4" xfId="0" applyFont="1" applyBorder="1" applyAlignment="1">
      <alignment horizontal="right"/>
    </xf>
    <xf numFmtId="44" fontId="29" fillId="5" borderId="7" xfId="4" applyFont="1" applyFill="1" applyBorder="1" applyAlignment="1"/>
    <xf numFmtId="0" fontId="31" fillId="0" borderId="4" xfId="0" applyFont="1" applyBorder="1" applyAlignment="1">
      <alignment horizontal="left"/>
    </xf>
    <xf numFmtId="0" fontId="29" fillId="6" borderId="21" xfId="0" applyFont="1" applyFill="1" applyBorder="1" applyAlignment="1">
      <alignment horizontal="left"/>
    </xf>
    <xf numFmtId="0" fontId="29" fillId="6" borderId="22" xfId="0" applyFont="1" applyFill="1" applyBorder="1" applyAlignment="1">
      <alignment horizontal="center"/>
    </xf>
    <xf numFmtId="44" fontId="29" fillId="6" borderId="22" xfId="4" applyFont="1" applyFill="1" applyBorder="1" applyAlignment="1"/>
    <xf numFmtId="44" fontId="29" fillId="6" borderId="23" xfId="4" applyFont="1" applyFill="1" applyBorder="1" applyAlignment="1"/>
    <xf numFmtId="0" fontId="29" fillId="6" borderId="24" xfId="0" applyFont="1" applyFill="1" applyBorder="1" applyAlignment="1">
      <alignment horizontal="left"/>
    </xf>
    <xf numFmtId="0" fontId="29" fillId="6" borderId="3" xfId="0" applyFont="1" applyFill="1" applyBorder="1" applyAlignment="1">
      <alignment horizontal="center"/>
    </xf>
    <xf numFmtId="44" fontId="29" fillId="6" borderId="3" xfId="4" applyFont="1" applyFill="1" applyBorder="1" applyAlignment="1"/>
    <xf numFmtId="44" fontId="29" fillId="6" borderId="18" xfId="4" applyFont="1" applyFill="1" applyBorder="1" applyAlignment="1"/>
    <xf numFmtId="0" fontId="29" fillId="6" borderId="34" xfId="0" applyFont="1" applyFill="1" applyBorder="1" applyAlignment="1">
      <alignment horizontal="left"/>
    </xf>
    <xf numFmtId="0" fontId="29" fillId="6" borderId="37" xfId="0" applyFont="1" applyFill="1" applyBorder="1" applyAlignment="1">
      <alignment horizontal="center"/>
    </xf>
    <xf numFmtId="44" fontId="29" fillId="6" borderId="37" xfId="4" applyFont="1" applyFill="1" applyBorder="1" applyAlignment="1"/>
    <xf numFmtId="44" fontId="29" fillId="6" borderId="38" xfId="4" applyFont="1" applyFill="1" applyBorder="1" applyAlignment="1"/>
    <xf numFmtId="174" fontId="32" fillId="0" borderId="0" xfId="4" applyNumberFormat="1" applyFont="1" applyBorder="1" applyAlignment="1"/>
    <xf numFmtId="0" fontId="29" fillId="0" borderId="4" xfId="0" applyFont="1" applyBorder="1" applyAlignment="1">
      <alignment horizontal="left"/>
    </xf>
    <xf numFmtId="44" fontId="29" fillId="0" borderId="0" xfId="4" applyFont="1" applyBorder="1" applyAlignment="1"/>
    <xf numFmtId="44" fontId="29" fillId="0" borderId="7" xfId="4" applyFont="1" applyBorder="1" applyAlignment="1"/>
    <xf numFmtId="44" fontId="29" fillId="6" borderId="23" xfId="4" applyFont="1" applyFill="1" applyBorder="1" applyAlignment="1">
      <alignment horizontal="right"/>
    </xf>
    <xf numFmtId="44" fontId="29" fillId="6" borderId="38" xfId="4" applyFont="1" applyFill="1" applyBorder="1" applyAlignment="1">
      <alignment horizontal="right"/>
    </xf>
    <xf numFmtId="174" fontId="29" fillId="0" borderId="0" xfId="0" applyNumberFormat="1" applyFont="1" applyBorder="1" applyAlignment="1">
      <alignment horizontal="left"/>
    </xf>
    <xf numFmtId="44" fontId="29" fillId="0" borderId="0" xfId="4" applyFont="1" applyBorder="1"/>
    <xf numFmtId="44" fontId="29" fillId="0" borderId="7" xfId="4" applyFont="1" applyBorder="1"/>
    <xf numFmtId="44" fontId="29" fillId="6" borderId="9" xfId="4" applyFont="1" applyFill="1" applyBorder="1" applyAlignment="1"/>
    <xf numFmtId="44" fontId="29" fillId="5" borderId="7" xfId="4" applyFont="1" applyFill="1" applyBorder="1"/>
    <xf numFmtId="0" fontId="29" fillId="10" borderId="12" xfId="0" applyFont="1" applyFill="1" applyBorder="1" applyAlignment="1">
      <alignment horizontal="left"/>
    </xf>
    <xf numFmtId="0" fontId="29" fillId="10" borderId="9" xfId="0" applyFont="1" applyFill="1" applyBorder="1" applyAlignment="1">
      <alignment horizontal="center"/>
    </xf>
    <xf numFmtId="44" fontId="29" fillId="10" borderId="9" xfId="4" applyFont="1" applyFill="1" applyBorder="1" applyAlignment="1"/>
    <xf numFmtId="44" fontId="29" fillId="6" borderId="22" xfId="4" applyFont="1" applyFill="1" applyBorder="1"/>
    <xf numFmtId="44" fontId="29" fillId="6" borderId="3" xfId="4" applyFont="1" applyFill="1" applyBorder="1"/>
    <xf numFmtId="44" fontId="29" fillId="6" borderId="18" xfId="4" applyFont="1" applyFill="1" applyBorder="1" applyAlignment="1">
      <alignment horizontal="right"/>
    </xf>
    <xf numFmtId="44" fontId="29" fillId="6" borderId="37" xfId="4" applyFont="1" applyFill="1" applyBorder="1"/>
    <xf numFmtId="0" fontId="29" fillId="5" borderId="0" xfId="0" applyFont="1" applyFill="1" applyBorder="1" applyAlignment="1">
      <alignment horizontal="center"/>
    </xf>
    <xf numFmtId="0" fontId="29" fillId="6" borderId="24" xfId="0" applyFont="1" applyFill="1" applyBorder="1"/>
    <xf numFmtId="0" fontId="29" fillId="6" borderId="34" xfId="0" applyFont="1" applyFill="1" applyBorder="1"/>
    <xf numFmtId="44" fontId="78" fillId="9" borderId="39" xfId="4" applyFont="1" applyFill="1" applyBorder="1" applyAlignment="1"/>
    <xf numFmtId="0" fontId="29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1" fillId="0" borderId="0" xfId="0" applyFont="1"/>
    <xf numFmtId="0" fontId="36" fillId="0" borderId="4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7" borderId="1" xfId="0" applyFont="1" applyFill="1" applyBorder="1"/>
    <xf numFmtId="0" fontId="37" fillId="8" borderId="39" xfId="0" applyFont="1" applyFill="1" applyBorder="1"/>
    <xf numFmtId="0" fontId="38" fillId="0" borderId="0" xfId="0" applyFont="1" applyFill="1"/>
    <xf numFmtId="0" fontId="29" fillId="0" borderId="4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horizontal="center" vertical="top" wrapText="1"/>
    </xf>
    <xf numFmtId="0" fontId="32" fillId="2" borderId="0" xfId="0" applyFont="1" applyFill="1" applyBorder="1"/>
    <xf numFmtId="7" fontId="29" fillId="0" borderId="0" xfId="0" applyNumberFormat="1" applyFont="1" applyFill="1" applyBorder="1"/>
    <xf numFmtId="0" fontId="29" fillId="0" borderId="4" xfId="0" applyFont="1" applyFill="1" applyBorder="1"/>
    <xf numFmtId="44" fontId="29" fillId="0" borderId="7" xfId="4" applyFont="1" applyFill="1" applyBorder="1"/>
    <xf numFmtId="7" fontId="29" fillId="0" borderId="7" xfId="0" applyNumberFormat="1" applyFont="1" applyFill="1" applyBorder="1"/>
    <xf numFmtId="0" fontId="29" fillId="0" borderId="0" xfId="0" applyFont="1" applyFill="1" applyBorder="1" applyAlignment="1">
      <alignment horizontal="justify" vertical="top" wrapText="1"/>
    </xf>
    <xf numFmtId="166" fontId="29" fillId="0" borderId="0" xfId="2" applyNumberFormat="1" applyFont="1" applyFill="1" applyBorder="1" applyAlignment="1">
      <alignment horizontal="center" vertical="top" wrapText="1"/>
    </xf>
    <xf numFmtId="166" fontId="31" fillId="0" borderId="0" xfId="4" applyNumberFormat="1" applyFont="1" applyFill="1" applyBorder="1"/>
    <xf numFmtId="9" fontId="31" fillId="0" borderId="0" xfId="10" applyFont="1" applyFill="1" applyBorder="1" applyAlignment="1">
      <alignment horizontal="center"/>
    </xf>
    <xf numFmtId="43" fontId="29" fillId="0" borderId="0" xfId="2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29" fillId="5" borderId="0" xfId="0" applyFont="1" applyFill="1" applyBorder="1"/>
    <xf numFmtId="0" fontId="31" fillId="5" borderId="4" xfId="0" applyFont="1" applyFill="1" applyBorder="1" applyAlignment="1">
      <alignment horizontal="center" vertical="top" wrapText="1"/>
    </xf>
    <xf numFmtId="0" fontId="29" fillId="5" borderId="0" xfId="0" applyFont="1" applyFill="1" applyBorder="1" applyAlignment="1">
      <alignment horizontal="center" vertical="top" wrapText="1"/>
    </xf>
    <xf numFmtId="0" fontId="31" fillId="5" borderId="0" xfId="0" applyFont="1" applyFill="1" applyBorder="1" applyAlignment="1">
      <alignment horizontal="center" vertical="top" wrapText="1"/>
    </xf>
    <xf numFmtId="0" fontId="31" fillId="5" borderId="7" xfId="0" applyFont="1" applyFill="1" applyBorder="1" applyAlignment="1">
      <alignment horizontal="center" vertical="top" wrapText="1"/>
    </xf>
    <xf numFmtId="0" fontId="79" fillId="9" borderId="6" xfId="0" applyFont="1" applyFill="1" applyBorder="1"/>
    <xf numFmtId="175" fontId="29" fillId="0" borderId="0" xfId="0" applyNumberFormat="1" applyFont="1" applyFill="1" applyBorder="1"/>
    <xf numFmtId="166" fontId="31" fillId="5" borderId="0" xfId="0" applyNumberFormat="1" applyFont="1" applyFill="1" applyBorder="1"/>
    <xf numFmtId="0" fontId="29" fillId="0" borderId="7" xfId="0" applyFont="1" applyFill="1" applyBorder="1"/>
    <xf numFmtId="1" fontId="29" fillId="6" borderId="37" xfId="0" applyNumberFormat="1" applyFont="1" applyFill="1" applyBorder="1" applyAlignment="1">
      <alignment horizontal="center"/>
    </xf>
    <xf numFmtId="0" fontId="29" fillId="6" borderId="2" xfId="0" applyFont="1" applyFill="1" applyBorder="1"/>
    <xf numFmtId="0" fontId="78" fillId="9" borderId="12" xfId="0" applyFont="1" applyFill="1" applyBorder="1" applyAlignment="1">
      <alignment horizontal="center"/>
    </xf>
    <xf numFmtId="9" fontId="78" fillId="9" borderId="10" xfId="10" applyFont="1" applyFill="1" applyBorder="1" applyAlignment="1">
      <alignment horizontal="center"/>
    </xf>
    <xf numFmtId="44" fontId="78" fillId="9" borderId="10" xfId="4" applyFont="1" applyFill="1" applyBorder="1"/>
    <xf numFmtId="44" fontId="29" fillId="5" borderId="0" xfId="4" applyFont="1" applyFill="1" applyBorder="1"/>
    <xf numFmtId="0" fontId="29" fillId="0" borderId="40" xfId="0" applyFont="1" applyFill="1" applyBorder="1" applyAlignment="1">
      <alignment horizontal="center" wrapText="1"/>
    </xf>
    <xf numFmtId="0" fontId="29" fillId="6" borderId="3" xfId="0" applyFont="1" applyFill="1" applyBorder="1"/>
    <xf numFmtId="9" fontId="29" fillId="6" borderId="3" xfId="0" applyNumberFormat="1" applyFont="1" applyFill="1" applyBorder="1" applyAlignment="1">
      <alignment horizontal="center" wrapText="1"/>
    </xf>
    <xf numFmtId="9" fontId="29" fillId="6" borderId="37" xfId="0" applyNumberFormat="1" applyFont="1" applyFill="1" applyBorder="1" applyAlignment="1">
      <alignment horizontal="center" wrapText="1"/>
    </xf>
    <xf numFmtId="0" fontId="79" fillId="9" borderId="3" xfId="0" applyFont="1" applyFill="1" applyBorder="1"/>
    <xf numFmtId="0" fontId="29" fillId="0" borderId="24" xfId="0" applyFont="1" applyFill="1" applyBorder="1" applyAlignment="1">
      <alignment horizontal="justify" vertical="top" wrapText="1"/>
    </xf>
    <xf numFmtId="9" fontId="31" fillId="6" borderId="18" xfId="10" applyFont="1" applyFill="1" applyBorder="1" applyAlignment="1">
      <alignment horizontal="center"/>
    </xf>
    <xf numFmtId="0" fontId="79" fillId="9" borderId="34" xfId="0" applyFont="1" applyFill="1" applyBorder="1"/>
    <xf numFmtId="9" fontId="79" fillId="9" borderId="38" xfId="10" applyFont="1" applyFill="1" applyBorder="1" applyAlignment="1">
      <alignment horizontal="center"/>
    </xf>
    <xf numFmtId="0" fontId="29" fillId="6" borderId="25" xfId="0" applyFont="1" applyFill="1" applyBorder="1"/>
    <xf numFmtId="1" fontId="29" fillId="6" borderId="17" xfId="0" applyNumberFormat="1" applyFont="1" applyFill="1" applyBorder="1" applyAlignment="1">
      <alignment horizontal="center"/>
    </xf>
    <xf numFmtId="9" fontId="29" fillId="6" borderId="17" xfId="0" applyNumberFormat="1" applyFont="1" applyFill="1" applyBorder="1" applyAlignment="1">
      <alignment horizontal="center" wrapText="1"/>
    </xf>
    <xf numFmtId="44" fontId="29" fillId="6" borderId="26" xfId="4" applyFont="1" applyFill="1" applyBorder="1" applyAlignment="1">
      <alignment horizontal="right"/>
    </xf>
    <xf numFmtId="0" fontId="77" fillId="0" borderId="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wrapText="1"/>
    </xf>
    <xf numFmtId="0" fontId="29" fillId="3" borderId="0" xfId="0" applyFont="1" applyFill="1"/>
    <xf numFmtId="0" fontId="31" fillId="5" borderId="4" xfId="0" applyFont="1" applyFill="1" applyBorder="1"/>
    <xf numFmtId="0" fontId="29" fillId="5" borderId="7" xfId="0" applyFont="1" applyFill="1" applyBorder="1"/>
    <xf numFmtId="0" fontId="31" fillId="6" borderId="4" xfId="0" applyFont="1" applyFill="1" applyBorder="1" applyAlignment="1">
      <alignment horizontal="left" indent="1"/>
    </xf>
    <xf numFmtId="0" fontId="39" fillId="0" borderId="4" xfId="0" applyFont="1" applyBorder="1" applyAlignment="1">
      <alignment horizontal="center"/>
    </xf>
    <xf numFmtId="4" fontId="29" fillId="5" borderId="7" xfId="0" applyNumberFormat="1" applyFont="1" applyFill="1" applyBorder="1"/>
    <xf numFmtId="0" fontId="29" fillId="0" borderId="4" xfId="0" applyFont="1" applyBorder="1"/>
    <xf numFmtId="166" fontId="29" fillId="5" borderId="0" xfId="0" applyNumberFormat="1" applyFont="1" applyFill="1" applyBorder="1"/>
    <xf numFmtId="166" fontId="29" fillId="5" borderId="0" xfId="4" applyNumberFormat="1" applyFont="1" applyFill="1" applyBorder="1"/>
    <xf numFmtId="0" fontId="29" fillId="0" borderId="4" xfId="0" applyFont="1" applyBorder="1" applyAlignment="1"/>
    <xf numFmtId="166" fontId="29" fillId="5" borderId="0" xfId="2" applyNumberFormat="1" applyFont="1" applyFill="1" applyBorder="1"/>
    <xf numFmtId="0" fontId="29" fillId="5" borderId="0" xfId="0" applyFont="1" applyFill="1"/>
    <xf numFmtId="0" fontId="29" fillId="0" borderId="4" xfId="0" applyFont="1" applyBorder="1" applyAlignment="1">
      <alignment horizontal="left" indent="1"/>
    </xf>
    <xf numFmtId="43" fontId="29" fillId="5" borderId="1" xfId="2" applyFont="1" applyFill="1" applyBorder="1"/>
    <xf numFmtId="0" fontId="31" fillId="6" borderId="4" xfId="0" applyFont="1" applyFill="1" applyBorder="1" applyAlignment="1">
      <alignment horizontal="left"/>
    </xf>
    <xf numFmtId="0" fontId="78" fillId="9" borderId="0" xfId="0" applyFont="1" applyFill="1" applyBorder="1"/>
    <xf numFmtId="44" fontId="29" fillId="5" borderId="0" xfId="0" applyNumberFormat="1" applyFont="1" applyFill="1" applyBorder="1"/>
    <xf numFmtId="44" fontId="29" fillId="5" borderId="7" xfId="0" applyNumberFormat="1" applyFont="1" applyFill="1" applyBorder="1"/>
    <xf numFmtId="44" fontId="29" fillId="5" borderId="1" xfId="4" applyFont="1" applyFill="1" applyBorder="1"/>
    <xf numFmtId="44" fontId="31" fillId="5" borderId="0" xfId="4" applyFont="1" applyFill="1" applyBorder="1"/>
    <xf numFmtId="4" fontId="29" fillId="5" borderId="0" xfId="0" applyNumberFormat="1" applyFont="1" applyFill="1" applyBorder="1"/>
    <xf numFmtId="0" fontId="31" fillId="6" borderId="4" xfId="0" applyFont="1" applyFill="1" applyBorder="1"/>
    <xf numFmtId="0" fontId="29" fillId="2" borderId="4" xfId="0" applyFont="1" applyFill="1" applyBorder="1"/>
    <xf numFmtId="44" fontId="31" fillId="5" borderId="41" xfId="4" applyFont="1" applyFill="1" applyBorder="1"/>
    <xf numFmtId="0" fontId="78" fillId="9" borderId="1" xfId="0" applyFont="1" applyFill="1" applyBorder="1"/>
    <xf numFmtId="0" fontId="80" fillId="9" borderId="4" xfId="0" applyFont="1" applyFill="1" applyBorder="1" applyAlignment="1">
      <alignment horizontal="right"/>
    </xf>
    <xf numFmtId="0" fontId="80" fillId="9" borderId="6" xfId="0" applyFont="1" applyFill="1" applyBorder="1" applyAlignment="1">
      <alignment horizontal="center"/>
    </xf>
    <xf numFmtId="44" fontId="80" fillId="9" borderId="7" xfId="4" applyFont="1" applyFill="1" applyBorder="1"/>
    <xf numFmtId="44" fontId="80" fillId="9" borderId="20" xfId="4" applyFont="1" applyFill="1" applyBorder="1"/>
    <xf numFmtId="165" fontId="40" fillId="0" borderId="28" xfId="0" applyNumberFormat="1" applyFont="1" applyFill="1" applyBorder="1" applyAlignment="1"/>
    <xf numFmtId="0" fontId="29" fillId="0" borderId="6" xfId="0" applyFont="1" applyBorder="1"/>
    <xf numFmtId="0" fontId="29" fillId="0" borderId="1" xfId="0" applyFont="1" applyBorder="1"/>
    <xf numFmtId="0" fontId="29" fillId="0" borderId="20" xfId="0" applyFont="1" applyBorder="1"/>
    <xf numFmtId="0" fontId="35" fillId="5" borderId="0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177" fontId="31" fillId="6" borderId="17" xfId="0" applyNumberFormat="1" applyFont="1" applyFill="1" applyBorder="1" applyAlignment="1">
      <alignment horizontal="right"/>
    </xf>
    <xf numFmtId="9" fontId="31" fillId="6" borderId="3" xfId="0" applyNumberFormat="1" applyFont="1" applyFill="1" applyBorder="1" applyAlignment="1">
      <alignment horizontal="right"/>
    </xf>
    <xf numFmtId="176" fontId="79" fillId="9" borderId="3" xfId="10" applyNumberFormat="1" applyFont="1" applyFill="1" applyBorder="1" applyAlignment="1"/>
    <xf numFmtId="6" fontId="79" fillId="9" borderId="3" xfId="10" applyNumberFormat="1" applyFont="1" applyFill="1" applyBorder="1" applyAlignment="1"/>
    <xf numFmtId="0" fontId="31" fillId="5" borderId="0" xfId="0" applyFont="1" applyFill="1" applyBorder="1" applyAlignment="1">
      <alignment horizontal="right"/>
    </xf>
    <xf numFmtId="0" fontId="29" fillId="0" borderId="13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5" borderId="13" xfId="0" applyFont="1" applyFill="1" applyBorder="1" applyAlignment="1">
      <alignment horizontal="center"/>
    </xf>
    <xf numFmtId="0" fontId="29" fillId="5" borderId="29" xfId="0" applyFont="1" applyFill="1" applyBorder="1" applyAlignment="1">
      <alignment horizontal="center"/>
    </xf>
    <xf numFmtId="0" fontId="29" fillId="0" borderId="2" xfId="0" applyFont="1" applyBorder="1"/>
    <xf numFmtId="0" fontId="79" fillId="9" borderId="13" xfId="0" applyFont="1" applyFill="1" applyBorder="1" applyAlignment="1" applyProtection="1">
      <alignment horizontal="center"/>
    </xf>
    <xf numFmtId="0" fontId="31" fillId="0" borderId="2" xfId="0" applyFont="1" applyBorder="1" applyAlignment="1">
      <alignment horizontal="center"/>
    </xf>
    <xf numFmtId="0" fontId="79" fillId="9" borderId="28" xfId="0" applyFont="1" applyFill="1" applyBorder="1" applyAlignment="1" applyProtection="1">
      <alignment horizontal="center"/>
    </xf>
    <xf numFmtId="0" fontId="79" fillId="9" borderId="29" xfId="0" applyFont="1" applyFill="1" applyBorder="1" applyAlignment="1" applyProtection="1">
      <alignment horizontal="center"/>
    </xf>
    <xf numFmtId="0" fontId="29" fillId="0" borderId="42" xfId="9" applyFont="1" applyBorder="1"/>
    <xf numFmtId="0" fontId="29" fillId="0" borderId="25" xfId="0" applyFont="1" applyBorder="1" applyAlignment="1">
      <alignment horizontal="center"/>
    </xf>
    <xf numFmtId="4" fontId="29" fillId="0" borderId="17" xfId="0" applyNumberFormat="1" applyFont="1" applyBorder="1" applyAlignment="1">
      <alignment horizontal="center"/>
    </xf>
    <xf numFmtId="4" fontId="29" fillId="0" borderId="43" xfId="0" applyNumberFormat="1" applyFont="1" applyBorder="1" applyAlignment="1">
      <alignment horizontal="center"/>
    </xf>
    <xf numFmtId="4" fontId="29" fillId="0" borderId="44" xfId="0" applyNumberFormat="1" applyFont="1" applyBorder="1" applyAlignment="1">
      <alignment horizontal="center"/>
    </xf>
    <xf numFmtId="4" fontId="29" fillId="0" borderId="45" xfId="0" applyNumberFormat="1" applyFont="1" applyBorder="1" applyAlignment="1">
      <alignment horizontal="center"/>
    </xf>
    <xf numFmtId="4" fontId="29" fillId="0" borderId="3" xfId="9" applyNumberFormat="1" applyFont="1" applyBorder="1"/>
    <xf numFmtId="0" fontId="29" fillId="0" borderId="24" xfId="0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4" fontId="29" fillId="0" borderId="46" xfId="0" applyNumberFormat="1" applyFont="1" applyBorder="1" applyAlignment="1">
      <alignment horizontal="center"/>
    </xf>
    <xf numFmtId="0" fontId="29" fillId="0" borderId="3" xfId="0" applyFont="1" applyBorder="1"/>
    <xf numFmtId="0" fontId="29" fillId="0" borderId="24" xfId="0" applyFont="1" applyFill="1" applyBorder="1" applyAlignment="1">
      <alignment horizontal="center"/>
    </xf>
    <xf numFmtId="0" fontId="29" fillId="0" borderId="47" xfId="9" applyFont="1" applyBorder="1"/>
    <xf numFmtId="0" fontId="31" fillId="0" borderId="34" xfId="0" applyFont="1" applyFill="1" applyBorder="1" applyAlignment="1">
      <alignment horizontal="center"/>
    </xf>
    <xf numFmtId="4" fontId="29" fillId="0" borderId="37" xfId="0" applyNumberFormat="1" applyFont="1" applyBorder="1" applyAlignment="1">
      <alignment horizontal="center"/>
    </xf>
    <xf numFmtId="4" fontId="29" fillId="0" borderId="48" xfId="0" applyNumberFormat="1" applyFont="1" applyBorder="1" applyAlignment="1">
      <alignment horizontal="center"/>
    </xf>
    <xf numFmtId="4" fontId="29" fillId="0" borderId="31" xfId="0" applyNumberFormat="1" applyFont="1" applyBorder="1" applyAlignment="1">
      <alignment horizontal="center"/>
    </xf>
    <xf numFmtId="4" fontId="29" fillId="0" borderId="49" xfId="0" applyNumberFormat="1" applyFont="1" applyBorder="1" applyAlignment="1">
      <alignment horizontal="center"/>
    </xf>
    <xf numFmtId="44" fontId="31" fillId="0" borderId="8" xfId="4" applyFont="1" applyBorder="1"/>
    <xf numFmtId="0" fontId="29" fillId="0" borderId="50" xfId="9" applyFont="1" applyBorder="1"/>
    <xf numFmtId="0" fontId="29" fillId="0" borderId="21" xfId="0" applyFont="1" applyFill="1" applyBorder="1" applyAlignment="1">
      <alignment horizontal="center"/>
    </xf>
    <xf numFmtId="4" fontId="29" fillId="0" borderId="21" xfId="9" applyNumberFormat="1" applyFont="1" applyBorder="1"/>
    <xf numFmtId="0" fontId="29" fillId="0" borderId="23" xfId="0" applyFont="1" applyBorder="1"/>
    <xf numFmtId="4" fontId="29" fillId="0" borderId="24" xfId="9" applyNumberFormat="1" applyFont="1" applyBorder="1"/>
    <xf numFmtId="0" fontId="29" fillId="0" borderId="18" xfId="0" applyFont="1" applyBorder="1"/>
    <xf numFmtId="44" fontId="31" fillId="0" borderId="34" xfId="4" applyFont="1" applyBorder="1"/>
    <xf numFmtId="44" fontId="31" fillId="0" borderId="38" xfId="4" applyFont="1" applyBorder="1"/>
    <xf numFmtId="0" fontId="29" fillId="0" borderId="51" xfId="0" applyFont="1" applyFill="1" applyBorder="1" applyAlignment="1">
      <alignment horizontal="center"/>
    </xf>
    <xf numFmtId="4" fontId="31" fillId="0" borderId="37" xfId="0" applyNumberFormat="1" applyFont="1" applyBorder="1" applyAlignment="1">
      <alignment horizontal="center"/>
    </xf>
    <xf numFmtId="4" fontId="31" fillId="0" borderId="49" xfId="0" applyNumberFormat="1" applyFont="1" applyBorder="1" applyAlignment="1">
      <alignment horizontal="center"/>
    </xf>
    <xf numFmtId="4" fontId="31" fillId="0" borderId="48" xfId="0" applyNumberFormat="1" applyFont="1" applyBorder="1" applyAlignment="1">
      <alignment horizontal="center"/>
    </xf>
    <xf numFmtId="44" fontId="31" fillId="0" borderId="22" xfId="4" applyFont="1" applyBorder="1"/>
    <xf numFmtId="44" fontId="31" fillId="0" borderId="23" xfId="4" applyFont="1" applyBorder="1"/>
    <xf numFmtId="0" fontId="31" fillId="0" borderId="32" xfId="0" applyFont="1" applyFill="1" applyBorder="1" applyAlignment="1">
      <alignment horizontal="center"/>
    </xf>
    <xf numFmtId="44" fontId="31" fillId="0" borderId="3" xfId="4" applyFont="1" applyBorder="1"/>
    <xf numFmtId="44" fontId="31" fillId="0" borderId="18" xfId="4" applyFont="1" applyBorder="1"/>
    <xf numFmtId="0" fontId="29" fillId="0" borderId="52" xfId="0" applyFont="1" applyFill="1" applyBorder="1" applyAlignment="1">
      <alignment horizontal="center"/>
    </xf>
    <xf numFmtId="44" fontId="31" fillId="0" borderId="37" xfId="4" applyFont="1" applyBorder="1"/>
    <xf numFmtId="0" fontId="31" fillId="0" borderId="50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29" fillId="0" borderId="4" xfId="9" applyFont="1" applyBorder="1"/>
    <xf numFmtId="0" fontId="29" fillId="0" borderId="6" xfId="9" applyFont="1" applyBorder="1"/>
    <xf numFmtId="44" fontId="29" fillId="0" borderId="37" xfId="0" applyNumberFormat="1" applyFont="1" applyBorder="1"/>
    <xf numFmtId="44" fontId="29" fillId="0" borderId="38" xfId="0" applyNumberFormat="1" applyFont="1" applyBorder="1"/>
    <xf numFmtId="0" fontId="31" fillId="0" borderId="47" xfId="0" applyFont="1" applyBorder="1" applyAlignment="1">
      <alignment horizontal="center"/>
    </xf>
    <xf numFmtId="4" fontId="31" fillId="0" borderId="54" xfId="0" applyNumberFormat="1" applyFont="1" applyBorder="1" applyAlignment="1">
      <alignment horizontal="center"/>
    </xf>
    <xf numFmtId="0" fontId="43" fillId="5" borderId="0" xfId="0" applyFont="1" applyFill="1" applyAlignment="1">
      <alignment horizontal="center"/>
    </xf>
    <xf numFmtId="0" fontId="35" fillId="0" borderId="55" xfId="0" applyFont="1" applyBorder="1"/>
    <xf numFmtId="0" fontId="34" fillId="0" borderId="44" xfId="0" applyFont="1" applyBorder="1" applyAlignment="1">
      <alignment horizontal="center" wrapText="1"/>
    </xf>
    <xf numFmtId="0" fontId="34" fillId="0" borderId="56" xfId="0" applyFont="1" applyBorder="1" applyAlignment="1">
      <alignment horizontal="center" wrapText="1"/>
    </xf>
    <xf numFmtId="0" fontId="31" fillId="5" borderId="29" xfId="0" applyFont="1" applyFill="1" applyBorder="1" applyAlignment="1">
      <alignment horizontal="center" wrapText="1"/>
    </xf>
    <xf numFmtId="44" fontId="31" fillId="5" borderId="0" xfId="4" applyFont="1" applyFill="1" applyBorder="1" applyAlignment="1">
      <alignment horizontal="center"/>
    </xf>
    <xf numFmtId="44" fontId="34" fillId="6" borderId="57" xfId="4" applyFont="1" applyFill="1" applyBorder="1"/>
    <xf numFmtId="44" fontId="34" fillId="6" borderId="20" xfId="4" applyFont="1" applyFill="1" applyBorder="1"/>
    <xf numFmtId="0" fontId="29" fillId="0" borderId="0" xfId="0" applyFont="1" applyBorder="1"/>
    <xf numFmtId="1" fontId="29" fillId="6" borderId="57" xfId="0" applyNumberFormat="1" applyFont="1" applyFill="1" applyBorder="1"/>
    <xf numFmtId="1" fontId="31" fillId="8" borderId="57" xfId="0" applyNumberFormat="1" applyFont="1" applyFill="1" applyBorder="1"/>
    <xf numFmtId="1" fontId="31" fillId="8" borderId="18" xfId="0" applyNumberFormat="1" applyFont="1" applyFill="1" applyBorder="1" applyAlignment="1">
      <alignment horizontal="center"/>
    </xf>
    <xf numFmtId="9" fontId="29" fillId="5" borderId="0" xfId="10" applyFont="1" applyFill="1"/>
    <xf numFmtId="2" fontId="31" fillId="5" borderId="0" xfId="4" applyNumberFormat="1" applyFont="1" applyFill="1" applyBorder="1"/>
    <xf numFmtId="0" fontId="29" fillId="5" borderId="4" xfId="0" applyFont="1" applyFill="1" applyBorder="1"/>
    <xf numFmtId="44" fontId="29" fillId="8" borderId="3" xfId="4" applyFont="1" applyFill="1" applyBorder="1"/>
    <xf numFmtId="44" fontId="29" fillId="8" borderId="57" xfId="4" applyFont="1" applyFill="1" applyBorder="1"/>
    <xf numFmtId="44" fontId="31" fillId="8" borderId="18" xfId="4" applyFont="1" applyFill="1" applyBorder="1"/>
    <xf numFmtId="44" fontId="29" fillId="8" borderId="18" xfId="4" applyFont="1" applyFill="1" applyBorder="1"/>
    <xf numFmtId="44" fontId="31" fillId="5" borderId="0" xfId="0" applyNumberFormat="1" applyFont="1" applyFill="1" applyBorder="1"/>
    <xf numFmtId="0" fontId="29" fillId="0" borderId="4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5" borderId="0" xfId="0" applyFont="1" applyFill="1" applyAlignment="1"/>
    <xf numFmtId="0" fontId="31" fillId="5" borderId="24" xfId="0" applyFont="1" applyFill="1" applyBorder="1" applyAlignment="1">
      <alignment horizontal="center"/>
    </xf>
    <xf numFmtId="0" fontId="29" fillId="0" borderId="7" xfId="0" applyFont="1" applyBorder="1"/>
    <xf numFmtId="0" fontId="29" fillId="5" borderId="0" xfId="0" applyFont="1" applyFill="1" applyAlignment="1">
      <alignment horizontal="right"/>
    </xf>
    <xf numFmtId="0" fontId="29" fillId="0" borderId="24" xfId="0" applyFont="1" applyBorder="1"/>
    <xf numFmtId="0" fontId="29" fillId="5" borderId="28" xfId="0" applyFont="1" applyFill="1" applyBorder="1"/>
    <xf numFmtId="0" fontId="29" fillId="5" borderId="1" xfId="0" applyFont="1" applyFill="1" applyBorder="1"/>
    <xf numFmtId="9" fontId="29" fillId="0" borderId="0" xfId="0" applyNumberFormat="1" applyFont="1" applyBorder="1" applyAlignment="1">
      <alignment horizontal="center"/>
    </xf>
    <xf numFmtId="0" fontId="45" fillId="5" borderId="58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center" wrapText="1"/>
    </xf>
    <xf numFmtId="0" fontId="46" fillId="5" borderId="59" xfId="0" applyFont="1" applyFill="1" applyBorder="1" applyAlignment="1">
      <alignment horizontal="center" vertical="center" wrapText="1"/>
    </xf>
    <xf numFmtId="0" fontId="31" fillId="5" borderId="31" xfId="0" applyFont="1" applyFill="1" applyBorder="1" applyAlignment="1">
      <alignment horizontal="center" wrapText="1"/>
    </xf>
    <xf numFmtId="0" fontId="29" fillId="5" borderId="30" xfId="0" applyFont="1" applyFill="1" applyBorder="1" applyAlignment="1">
      <alignment horizontal="center" wrapText="1"/>
    </xf>
    <xf numFmtId="0" fontId="29" fillId="5" borderId="31" xfId="0" applyFont="1" applyFill="1" applyBorder="1" applyAlignment="1">
      <alignment horizontal="center" wrapText="1"/>
    </xf>
    <xf numFmtId="0" fontId="78" fillId="9" borderId="13" xfId="0" applyFont="1" applyFill="1" applyBorder="1"/>
    <xf numFmtId="1" fontId="79" fillId="9" borderId="10" xfId="4" applyNumberFormat="1" applyFont="1" applyFill="1" applyBorder="1"/>
    <xf numFmtId="1" fontId="79" fillId="9" borderId="35" xfId="4" applyNumberFormat="1" applyFont="1" applyFill="1" applyBorder="1"/>
    <xf numFmtId="1" fontId="79" fillId="9" borderId="10" xfId="0" applyNumberFormat="1" applyFont="1" applyFill="1" applyBorder="1" applyAlignment="1">
      <alignment horizontal="center"/>
    </xf>
    <xf numFmtId="0" fontId="78" fillId="9" borderId="12" xfId="0" applyFont="1" applyFill="1" applyBorder="1"/>
    <xf numFmtId="0" fontId="78" fillId="9" borderId="9" xfId="0" applyFont="1" applyFill="1" applyBorder="1"/>
    <xf numFmtId="44" fontId="79" fillId="9" borderId="9" xfId="0" applyNumberFormat="1" applyFont="1" applyFill="1" applyBorder="1"/>
    <xf numFmtId="44" fontId="79" fillId="9" borderId="10" xfId="0" applyNumberFormat="1" applyFont="1" applyFill="1" applyBorder="1"/>
    <xf numFmtId="44" fontId="79" fillId="9" borderId="60" xfId="0" applyNumberFormat="1" applyFont="1" applyFill="1" applyBorder="1"/>
    <xf numFmtId="44" fontId="79" fillId="9" borderId="10" xfId="4" applyFont="1" applyFill="1" applyBorder="1"/>
    <xf numFmtId="0" fontId="29" fillId="5" borderId="4" xfId="0" applyFont="1" applyFill="1" applyBorder="1" applyAlignment="1">
      <alignment horizontal="center"/>
    </xf>
    <xf numFmtId="0" fontId="29" fillId="5" borderId="7" xfId="0" applyFont="1" applyFill="1" applyBorder="1" applyAlignment="1">
      <alignment horizontal="center"/>
    </xf>
    <xf numFmtId="0" fontId="29" fillId="5" borderId="24" xfId="0" applyFont="1" applyFill="1" applyBorder="1" applyAlignment="1">
      <alignment horizontal="center"/>
    </xf>
    <xf numFmtId="0" fontId="29" fillId="5" borderId="3" xfId="0" applyFont="1" applyFill="1" applyBorder="1"/>
    <xf numFmtId="9" fontId="33" fillId="5" borderId="3" xfId="10" applyFont="1" applyFill="1" applyBorder="1" applyAlignment="1">
      <alignment horizontal="center"/>
    </xf>
    <xf numFmtId="9" fontId="33" fillId="5" borderId="3" xfId="10" applyNumberFormat="1" applyFont="1" applyFill="1" applyBorder="1" applyAlignment="1">
      <alignment horizontal="center"/>
    </xf>
    <xf numFmtId="9" fontId="33" fillId="5" borderId="18" xfId="10" applyNumberFormat="1" applyFont="1" applyFill="1" applyBorder="1" applyAlignment="1">
      <alignment horizontal="center"/>
    </xf>
    <xf numFmtId="9" fontId="33" fillId="5" borderId="3" xfId="0" applyNumberFormat="1" applyFont="1" applyFill="1" applyBorder="1" applyAlignment="1">
      <alignment horizontal="center"/>
    </xf>
    <xf numFmtId="10" fontId="33" fillId="5" borderId="3" xfId="0" applyNumberFormat="1" applyFont="1" applyFill="1" applyBorder="1" applyAlignment="1">
      <alignment horizontal="center"/>
    </xf>
    <xf numFmtId="10" fontId="33" fillId="5" borderId="18" xfId="0" applyNumberFormat="1" applyFont="1" applyFill="1" applyBorder="1" applyAlignment="1">
      <alignment horizontal="center"/>
    </xf>
    <xf numFmtId="0" fontId="81" fillId="9" borderId="12" xfId="0" applyFont="1" applyFill="1" applyBorder="1" applyAlignment="1">
      <alignment horizontal="center"/>
    </xf>
    <xf numFmtId="0" fontId="81" fillId="9" borderId="9" xfId="0" applyFont="1" applyFill="1" applyBorder="1"/>
    <xf numFmtId="44" fontId="81" fillId="9" borderId="9" xfId="4" applyFont="1" applyFill="1" applyBorder="1"/>
    <xf numFmtId="44" fontId="81" fillId="9" borderId="10" xfId="4" applyFont="1" applyFill="1" applyBorder="1"/>
    <xf numFmtId="165" fontId="40" fillId="0" borderId="0" xfId="0" applyNumberFormat="1" applyFont="1" applyFill="1" applyBorder="1" applyAlignment="1">
      <alignment horizontal="center"/>
    </xf>
    <xf numFmtId="0" fontId="31" fillId="10" borderId="9" xfId="0" applyFont="1" applyFill="1" applyBorder="1" applyAlignment="1">
      <alignment horizontal="center" wrapText="1"/>
    </xf>
    <xf numFmtId="0" fontId="31" fillId="0" borderId="25" xfId="0" applyFont="1" applyBorder="1"/>
    <xf numFmtId="0" fontId="31" fillId="0" borderId="17" xfId="0" applyFont="1" applyBorder="1"/>
    <xf numFmtId="2" fontId="29" fillId="11" borderId="17" xfId="4" applyNumberFormat="1" applyFont="1" applyFill="1" applyBorder="1"/>
    <xf numFmtId="0" fontId="31" fillId="0" borderId="0" xfId="0" applyFont="1" applyBorder="1"/>
    <xf numFmtId="0" fontId="46" fillId="0" borderId="8" xfId="0" applyFont="1" applyBorder="1" applyAlignment="1">
      <alignment horizontal="center" wrapText="1"/>
    </xf>
    <xf numFmtId="44" fontId="29" fillId="11" borderId="17" xfId="4" applyFont="1" applyFill="1" applyBorder="1"/>
    <xf numFmtId="44" fontId="46" fillId="12" borderId="44" xfId="4" applyFont="1" applyFill="1" applyBorder="1"/>
    <xf numFmtId="44" fontId="46" fillId="12" borderId="61" xfId="4" applyFont="1" applyFill="1" applyBorder="1"/>
    <xf numFmtId="0" fontId="29" fillId="0" borderId="0" xfId="0" applyFont="1" applyFill="1"/>
    <xf numFmtId="0" fontId="33" fillId="5" borderId="0" xfId="0" applyFont="1" applyFill="1" applyBorder="1" applyAlignment="1">
      <alignment horizontal="justify" vertical="top" wrapText="1"/>
    </xf>
    <xf numFmtId="165" fontId="29" fillId="5" borderId="0" xfId="0" applyNumberFormat="1" applyFont="1" applyFill="1" applyBorder="1" applyAlignment="1">
      <alignment horizontal="center"/>
    </xf>
    <xf numFmtId="4" fontId="29" fillId="5" borderId="0" xfId="0" applyNumberFormat="1" applyFont="1" applyFill="1" applyBorder="1" applyAlignment="1">
      <alignment horizontal="right" vertical="top" wrapText="1"/>
    </xf>
    <xf numFmtId="8" fontId="33" fillId="5" borderId="0" xfId="0" applyNumberFormat="1" applyFont="1" applyFill="1" applyBorder="1" applyAlignment="1">
      <alignment horizontal="right" vertical="top" wrapText="1"/>
    </xf>
    <xf numFmtId="0" fontId="31" fillId="5" borderId="12" xfId="0" applyFont="1" applyFill="1" applyBorder="1" applyAlignment="1">
      <alignment horizontal="center"/>
    </xf>
    <xf numFmtId="0" fontId="31" fillId="5" borderId="60" xfId="0" applyFont="1" applyFill="1" applyBorder="1" applyAlignment="1">
      <alignment horizontal="center" wrapText="1"/>
    </xf>
    <xf numFmtId="0" fontId="31" fillId="5" borderId="9" xfId="0" applyFont="1" applyFill="1" applyBorder="1" applyAlignment="1">
      <alignment horizontal="center" wrapText="1"/>
    </xf>
    <xf numFmtId="0" fontId="31" fillId="5" borderId="10" xfId="4" applyNumberFormat="1" applyFont="1" applyFill="1" applyBorder="1" applyAlignment="1">
      <alignment horizontal="center" wrapText="1"/>
    </xf>
    <xf numFmtId="0" fontId="34" fillId="5" borderId="62" xfId="0" applyFont="1" applyFill="1" applyBorder="1" applyAlignment="1">
      <alignment horizontal="center" wrapText="1"/>
    </xf>
    <xf numFmtId="0" fontId="31" fillId="5" borderId="60" xfId="0" applyFont="1" applyFill="1" applyBorder="1" applyAlignment="1">
      <alignment horizontal="center"/>
    </xf>
    <xf numFmtId="44" fontId="29" fillId="5" borderId="17" xfId="4" applyNumberFormat="1" applyFont="1" applyFill="1" applyBorder="1"/>
    <xf numFmtId="44" fontId="31" fillId="5" borderId="43" xfId="4" applyFont="1" applyFill="1" applyBorder="1" applyAlignment="1">
      <alignment horizontal="right"/>
    </xf>
    <xf numFmtId="2" fontId="29" fillId="5" borderId="17" xfId="4" applyNumberFormat="1" applyFont="1" applyFill="1" applyBorder="1"/>
    <xf numFmtId="44" fontId="29" fillId="5" borderId="26" xfId="4" applyFont="1" applyFill="1" applyBorder="1" applyAlignment="1">
      <alignment horizontal="right"/>
    </xf>
    <xf numFmtId="44" fontId="29" fillId="5" borderId="54" xfId="4" applyNumberFormat="1" applyFont="1" applyFill="1" applyBorder="1"/>
    <xf numFmtId="44" fontId="29" fillId="5" borderId="39" xfId="4" applyFont="1" applyFill="1" applyBorder="1" applyAlignment="1">
      <alignment horizontal="right"/>
    </xf>
    <xf numFmtId="0" fontId="34" fillId="5" borderId="0" xfId="0" applyFont="1" applyFill="1"/>
    <xf numFmtId="0" fontId="29" fillId="6" borderId="52" xfId="0" applyFont="1" applyFill="1" applyBorder="1"/>
    <xf numFmtId="0" fontId="29" fillId="6" borderId="63" xfId="0" applyFont="1" applyFill="1" applyBorder="1"/>
    <xf numFmtId="9" fontId="29" fillId="6" borderId="3" xfId="10" applyFont="1" applyFill="1" applyBorder="1" applyAlignment="1">
      <alignment horizontal="center"/>
    </xf>
    <xf numFmtId="44" fontId="29" fillId="5" borderId="3" xfId="4" applyFont="1" applyFill="1" applyBorder="1"/>
    <xf numFmtId="0" fontId="29" fillId="13" borderId="0" xfId="0" applyFont="1" applyFill="1"/>
    <xf numFmtId="0" fontId="45" fillId="5" borderId="3" xfId="0" applyFont="1" applyFill="1" applyBorder="1" applyAlignment="1">
      <alignment horizontal="center" vertical="center" wrapText="1"/>
    </xf>
    <xf numFmtId="0" fontId="45" fillId="5" borderId="64" xfId="0" applyFont="1" applyFill="1" applyBorder="1" applyAlignment="1">
      <alignment horizontal="center" vertical="center" wrapText="1"/>
    </xf>
    <xf numFmtId="0" fontId="46" fillId="5" borderId="65" xfId="0" applyFont="1" applyFill="1" applyBorder="1" applyAlignment="1">
      <alignment horizontal="center" vertical="center" wrapText="1"/>
    </xf>
    <xf numFmtId="0" fontId="78" fillId="9" borderId="6" xfId="0" applyFont="1" applyFill="1" applyBorder="1"/>
    <xf numFmtId="0" fontId="78" fillId="9" borderId="3" xfId="0" applyFont="1" applyFill="1" applyBorder="1"/>
    <xf numFmtId="44" fontId="78" fillId="9" borderId="66" xfId="4" applyFont="1" applyFill="1" applyBorder="1"/>
    <xf numFmtId="44" fontId="78" fillId="9" borderId="54" xfId="4" applyFont="1" applyFill="1" applyBorder="1"/>
    <xf numFmtId="44" fontId="78" fillId="9" borderId="3" xfId="4" applyFont="1" applyFill="1" applyBorder="1"/>
    <xf numFmtId="44" fontId="80" fillId="9" borderId="3" xfId="4" applyFont="1" applyFill="1" applyBorder="1" applyAlignment="1">
      <alignment horizontal="center" wrapText="1"/>
    </xf>
    <xf numFmtId="44" fontId="80" fillId="9" borderId="3" xfId="4" applyFont="1" applyFill="1" applyBorder="1"/>
    <xf numFmtId="44" fontId="78" fillId="9" borderId="57" xfId="4" applyFont="1" applyFill="1" applyBorder="1"/>
    <xf numFmtId="44" fontId="29" fillId="5" borderId="57" xfId="4" applyFont="1" applyFill="1" applyBorder="1"/>
    <xf numFmtId="0" fontId="31" fillId="5" borderId="0" xfId="0" applyFont="1" applyFill="1"/>
    <xf numFmtId="44" fontId="29" fillId="5" borderId="0" xfId="0" applyNumberFormat="1" applyFont="1" applyFill="1"/>
    <xf numFmtId="0" fontId="43" fillId="5" borderId="11" xfId="0" applyFont="1" applyFill="1" applyBorder="1"/>
    <xf numFmtId="0" fontId="29" fillId="5" borderId="11" xfId="0" applyFont="1" applyFill="1" applyBorder="1"/>
    <xf numFmtId="0" fontId="29" fillId="5" borderId="35" xfId="0" applyFont="1" applyFill="1" applyBorder="1"/>
    <xf numFmtId="0" fontId="82" fillId="9" borderId="12" xfId="0" applyFont="1" applyFill="1" applyBorder="1"/>
    <xf numFmtId="44" fontId="82" fillId="9" borderId="9" xfId="0" applyNumberFormat="1" applyFont="1" applyFill="1" applyBorder="1"/>
    <xf numFmtId="44" fontId="82" fillId="9" borderId="10" xfId="0" applyNumberFormat="1" applyFont="1" applyFill="1" applyBorder="1"/>
    <xf numFmtId="44" fontId="29" fillId="5" borderId="3" xfId="0" applyNumberFormat="1" applyFont="1" applyFill="1" applyBorder="1"/>
    <xf numFmtId="0" fontId="46" fillId="5" borderId="0" xfId="0" applyFont="1" applyFill="1" applyAlignment="1">
      <alignment horizontal="left"/>
    </xf>
    <xf numFmtId="0" fontId="46" fillId="5" borderId="2" xfId="0" applyFont="1" applyFill="1" applyBorder="1" applyAlignment="1">
      <alignment horizontal="left"/>
    </xf>
    <xf numFmtId="44" fontId="29" fillId="5" borderId="35" xfId="4" applyFont="1" applyFill="1" applyBorder="1"/>
    <xf numFmtId="0" fontId="46" fillId="0" borderId="30" xfId="0" applyFont="1" applyBorder="1" applyAlignment="1">
      <alignment horizontal="left"/>
    </xf>
    <xf numFmtId="0" fontId="45" fillId="0" borderId="3" xfId="0" applyFont="1" applyBorder="1" applyAlignment="1">
      <alignment horizontal="left"/>
    </xf>
    <xf numFmtId="4" fontId="29" fillId="14" borderId="3" xfId="0" applyNumberFormat="1" applyFont="1" applyFill="1" applyBorder="1"/>
    <xf numFmtId="44" fontId="29" fillId="14" borderId="3" xfId="4" applyFont="1" applyFill="1" applyBorder="1"/>
    <xf numFmtId="0" fontId="45" fillId="5" borderId="0" xfId="0" applyFont="1" applyFill="1" applyBorder="1" applyAlignment="1">
      <alignment horizontal="left" wrapText="1"/>
    </xf>
    <xf numFmtId="4" fontId="31" fillId="5" borderId="0" xfId="0" applyNumberFormat="1" applyFont="1" applyFill="1" applyBorder="1"/>
    <xf numFmtId="0" fontId="46" fillId="0" borderId="3" xfId="0" applyFont="1" applyBorder="1" applyAlignment="1">
      <alignment horizontal="left"/>
    </xf>
    <xf numFmtId="44" fontId="29" fillId="0" borderId="3" xfId="4" applyFont="1" applyBorder="1"/>
    <xf numFmtId="0" fontId="83" fillId="9" borderId="3" xfId="0" applyFont="1" applyFill="1" applyBorder="1" applyAlignment="1">
      <alignment horizontal="left"/>
    </xf>
    <xf numFmtId="0" fontId="84" fillId="9" borderId="3" xfId="0" applyFont="1" applyFill="1" applyBorder="1" applyAlignment="1">
      <alignment horizontal="left" wrapText="1"/>
    </xf>
    <xf numFmtId="44" fontId="79" fillId="9" borderId="3" xfId="4" applyFont="1" applyFill="1" applyBorder="1"/>
    <xf numFmtId="4" fontId="79" fillId="9" borderId="3" xfId="0" applyNumberFormat="1" applyFont="1" applyFill="1" applyBorder="1"/>
    <xf numFmtId="0" fontId="29" fillId="5" borderId="30" xfId="0" applyFont="1" applyFill="1" applyBorder="1"/>
    <xf numFmtId="3" fontId="31" fillId="5" borderId="3" xfId="0" applyNumberFormat="1" applyFont="1" applyFill="1" applyBorder="1" applyAlignment="1">
      <alignment horizontal="center"/>
    </xf>
    <xf numFmtId="0" fontId="46" fillId="5" borderId="5" xfId="0" applyFont="1" applyFill="1" applyBorder="1" applyAlignment="1">
      <alignment horizontal="left"/>
    </xf>
    <xf numFmtId="0" fontId="45" fillId="5" borderId="3" xfId="0" applyFont="1" applyFill="1" applyBorder="1" applyAlignment="1">
      <alignment horizontal="left"/>
    </xf>
    <xf numFmtId="0" fontId="31" fillId="5" borderId="4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44" fontId="29" fillId="0" borderId="0" xfId="0" applyNumberFormat="1" applyFont="1"/>
    <xf numFmtId="3" fontId="29" fillId="5" borderId="0" xfId="0" applyNumberFormat="1" applyFont="1" applyFill="1" applyBorder="1" applyAlignment="1">
      <alignment horizontal="center"/>
    </xf>
    <xf numFmtId="178" fontId="29" fillId="5" borderId="0" xfId="0" applyNumberFormat="1" applyFont="1" applyFill="1" applyBorder="1" applyAlignment="1">
      <alignment horizontal="center"/>
    </xf>
    <xf numFmtId="0" fontId="31" fillId="5" borderId="0" xfId="0" applyFont="1" applyFill="1" applyBorder="1"/>
    <xf numFmtId="0" fontId="29" fillId="5" borderId="0" xfId="0" applyFont="1" applyFill="1" applyBorder="1" applyAlignment="1"/>
    <xf numFmtId="0" fontId="48" fillId="0" borderId="24" xfId="0" applyFont="1" applyFill="1" applyBorder="1"/>
    <xf numFmtId="0" fontId="50" fillId="5" borderId="0" xfId="0" applyFont="1" applyFill="1" applyBorder="1"/>
    <xf numFmtId="171" fontId="29" fillId="0" borderId="0" xfId="4" applyNumberFormat="1" applyFont="1" applyBorder="1"/>
    <xf numFmtId="44" fontId="29" fillId="0" borderId="3" xfId="4" applyFont="1" applyFill="1" applyBorder="1" applyAlignment="1"/>
    <xf numFmtId="0" fontId="50" fillId="5" borderId="0" xfId="0" applyFont="1" applyFill="1"/>
    <xf numFmtId="0" fontId="31" fillId="0" borderId="3" xfId="0" applyFont="1" applyFill="1" applyBorder="1"/>
    <xf numFmtId="171" fontId="29" fillId="5" borderId="3" xfId="4" applyNumberFormat="1" applyFont="1" applyFill="1" applyBorder="1"/>
    <xf numFmtId="44" fontId="29" fillId="5" borderId="18" xfId="0" applyNumberFormat="1" applyFont="1" applyFill="1" applyBorder="1"/>
    <xf numFmtId="0" fontId="34" fillId="5" borderId="3" xfId="0" applyFont="1" applyFill="1" applyBorder="1" applyAlignment="1">
      <alignment horizontal="center"/>
    </xf>
    <xf numFmtId="0" fontId="29" fillId="0" borderId="17" xfId="0" applyFont="1" applyBorder="1"/>
    <xf numFmtId="0" fontId="31" fillId="0" borderId="24" xfId="0" applyFont="1" applyBorder="1"/>
    <xf numFmtId="0" fontId="31" fillId="2" borderId="24" xfId="0" applyFont="1" applyFill="1" applyBorder="1"/>
    <xf numFmtId="44" fontId="34" fillId="2" borderId="0" xfId="4" applyFont="1" applyFill="1" applyBorder="1"/>
    <xf numFmtId="0" fontId="29" fillId="4" borderId="0" xfId="0" applyFont="1" applyFill="1"/>
    <xf numFmtId="0" fontId="29" fillId="0" borderId="67" xfId="0" applyFont="1" applyFill="1" applyBorder="1" applyAlignment="1"/>
    <xf numFmtId="0" fontId="41" fillId="5" borderId="0" xfId="0" applyFont="1" applyFill="1" applyBorder="1"/>
    <xf numFmtId="4" fontId="51" fillId="5" borderId="0" xfId="0" applyNumberFormat="1" applyFont="1" applyFill="1" applyBorder="1"/>
    <xf numFmtId="0" fontId="31" fillId="5" borderId="24" xfId="0" applyFont="1" applyFill="1" applyBorder="1" applyAlignment="1"/>
    <xf numFmtId="0" fontId="29" fillId="5" borderId="3" xfId="0" applyFont="1" applyFill="1" applyBorder="1" applyAlignment="1"/>
    <xf numFmtId="0" fontId="31" fillId="5" borderId="3" xfId="0" applyFont="1" applyFill="1" applyBorder="1" applyAlignment="1">
      <alignment horizontal="center"/>
    </xf>
    <xf numFmtId="0" fontId="31" fillId="5" borderId="18" xfId="0" applyFont="1" applyFill="1" applyBorder="1" applyAlignment="1">
      <alignment horizontal="center"/>
    </xf>
    <xf numFmtId="44" fontId="79" fillId="9" borderId="37" xfId="4" applyFont="1" applyFill="1" applyBorder="1" applyAlignment="1">
      <alignment horizontal="center"/>
    </xf>
    <xf numFmtId="3" fontId="79" fillId="9" borderId="37" xfId="0" applyNumberFormat="1" applyFont="1" applyFill="1" applyBorder="1" applyAlignment="1">
      <alignment horizontal="center"/>
    </xf>
    <xf numFmtId="44" fontId="79" fillId="9" borderId="37" xfId="0" applyNumberFormat="1" applyFont="1" applyFill="1" applyBorder="1"/>
    <xf numFmtId="2" fontId="79" fillId="9" borderId="37" xfId="0" applyNumberFormat="1" applyFont="1" applyFill="1" applyBorder="1" applyAlignment="1">
      <alignment horizontal="center"/>
    </xf>
    <xf numFmtId="44" fontId="29" fillId="6" borderId="3" xfId="4" applyFont="1" applyFill="1" applyBorder="1" applyAlignment="1">
      <alignment horizontal="center"/>
    </xf>
    <xf numFmtId="44" fontId="29" fillId="6" borderId="18" xfId="0" applyNumberFormat="1" applyFont="1" applyFill="1" applyBorder="1"/>
    <xf numFmtId="0" fontId="79" fillId="9" borderId="37" xfId="0" applyFont="1" applyFill="1" applyBorder="1"/>
    <xf numFmtId="44" fontId="80" fillId="9" borderId="37" xfId="0" applyNumberFormat="1" applyFont="1" applyFill="1" applyBorder="1"/>
    <xf numFmtId="44" fontId="80" fillId="9" borderId="38" xfId="0" applyNumberFormat="1" applyFont="1" applyFill="1" applyBorder="1"/>
    <xf numFmtId="0" fontId="78" fillId="9" borderId="37" xfId="0" applyFont="1" applyFill="1" applyBorder="1"/>
    <xf numFmtId="44" fontId="80" fillId="9" borderId="37" xfId="4" applyFont="1" applyFill="1" applyBorder="1"/>
    <xf numFmtId="44" fontId="78" fillId="9" borderId="37" xfId="4" applyFont="1" applyFill="1" applyBorder="1"/>
    <xf numFmtId="44" fontId="80" fillId="9" borderId="38" xfId="4" applyFont="1" applyFill="1" applyBorder="1"/>
    <xf numFmtId="0" fontId="79" fillId="9" borderId="20" xfId="0" applyFont="1" applyFill="1" applyBorder="1" applyAlignment="1">
      <alignment horizontal="center" vertical="center" wrapText="1"/>
    </xf>
    <xf numFmtId="0" fontId="78" fillId="9" borderId="11" xfId="0" applyFont="1" applyFill="1" applyBorder="1"/>
    <xf numFmtId="0" fontId="78" fillId="9" borderId="35" xfId="0" applyFont="1" applyFill="1" applyBorder="1"/>
    <xf numFmtId="44" fontId="79" fillId="9" borderId="13" xfId="0" applyNumberFormat="1" applyFont="1" applyFill="1" applyBorder="1"/>
    <xf numFmtId="44" fontId="29" fillId="6" borderId="17" xfId="0" applyNumberFormat="1" applyFont="1" applyFill="1" applyBorder="1" applyAlignment="1"/>
    <xf numFmtId="44" fontId="29" fillId="6" borderId="26" xfId="0" applyNumberFormat="1" applyFont="1" applyFill="1" applyBorder="1" applyAlignment="1"/>
    <xf numFmtId="44" fontId="29" fillId="6" borderId="3" xfId="0" applyNumberFormat="1" applyFont="1" applyFill="1" applyBorder="1" applyAlignment="1"/>
    <xf numFmtId="44" fontId="29" fillId="6" borderId="18" xfId="0" applyNumberFormat="1" applyFont="1" applyFill="1" applyBorder="1" applyAlignment="1"/>
    <xf numFmtId="44" fontId="29" fillId="6" borderId="3" xfId="0" applyNumberFormat="1" applyFont="1" applyFill="1" applyBorder="1"/>
    <xf numFmtId="0" fontId="49" fillId="6" borderId="3" xfId="0" applyFont="1" applyFill="1" applyBorder="1" applyAlignment="1">
      <alignment horizontal="center"/>
    </xf>
    <xf numFmtId="0" fontId="31" fillId="6" borderId="3" xfId="0" applyFont="1" applyFill="1" applyBorder="1" applyAlignment="1">
      <alignment horizontal="left"/>
    </xf>
    <xf numFmtId="4" fontId="78" fillId="9" borderId="3" xfId="0" applyNumberFormat="1" applyFont="1" applyFill="1" applyBorder="1"/>
    <xf numFmtId="44" fontId="79" fillId="9" borderId="3" xfId="0" applyNumberFormat="1" applyFont="1" applyFill="1" applyBorder="1"/>
    <xf numFmtId="0" fontId="79" fillId="9" borderId="2" xfId="0" applyFont="1" applyFill="1" applyBorder="1"/>
    <xf numFmtId="4" fontId="78" fillId="9" borderId="35" xfId="0" applyNumberFormat="1" applyFont="1" applyFill="1" applyBorder="1"/>
    <xf numFmtId="0" fontId="41" fillId="5" borderId="3" xfId="0" applyFont="1" applyFill="1" applyBorder="1"/>
    <xf numFmtId="44" fontId="31" fillId="5" borderId="3" xfId="0" applyNumberFormat="1" applyFont="1" applyFill="1" applyBorder="1"/>
    <xf numFmtId="4" fontId="41" fillId="5" borderId="17" xfId="0" applyNumberFormat="1" applyFont="1" applyFill="1" applyBorder="1"/>
    <xf numFmtId="0" fontId="52" fillId="5" borderId="3" xfId="0" applyFont="1" applyFill="1" applyBorder="1"/>
    <xf numFmtId="4" fontId="51" fillId="5" borderId="3" xfId="0" applyNumberFormat="1" applyFont="1" applyFill="1" applyBorder="1"/>
    <xf numFmtId="0" fontId="41" fillId="5" borderId="2" xfId="0" applyFont="1" applyFill="1" applyBorder="1"/>
    <xf numFmtId="4" fontId="51" fillId="5" borderId="13" xfId="0" applyNumberFormat="1" applyFont="1" applyFill="1" applyBorder="1"/>
    <xf numFmtId="4" fontId="51" fillId="5" borderId="35" xfId="0" applyNumberFormat="1" applyFont="1" applyFill="1" applyBorder="1"/>
    <xf numFmtId="0" fontId="31" fillId="5" borderId="17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/>
    <xf numFmtId="0" fontId="48" fillId="5" borderId="17" xfId="0" applyFont="1" applyFill="1" applyBorder="1" applyAlignment="1"/>
    <xf numFmtId="0" fontId="31" fillId="0" borderId="0" xfId="0" applyFont="1" applyAlignment="1">
      <alignment horizontal="center" vertical="center"/>
    </xf>
    <xf numFmtId="0" fontId="85" fillId="0" borderId="0" xfId="0" applyFont="1"/>
    <xf numFmtId="0" fontId="47" fillId="0" borderId="8" xfId="0" applyFont="1" applyFill="1" applyBorder="1" applyAlignment="1">
      <alignment horizontal="center" vertical="justify"/>
    </xf>
    <xf numFmtId="0" fontId="47" fillId="0" borderId="8" xfId="0" applyFont="1" applyFill="1" applyBorder="1" applyAlignment="1">
      <alignment vertical="justify"/>
    </xf>
    <xf numFmtId="0" fontId="47" fillId="0" borderId="0" xfId="0" applyFont="1" applyFill="1" applyAlignment="1">
      <alignment vertical="justify"/>
    </xf>
    <xf numFmtId="0" fontId="35" fillId="0" borderId="0" xfId="0" applyFont="1" applyFill="1" applyBorder="1" applyAlignment="1">
      <alignment horizontal="center"/>
    </xf>
    <xf numFmtId="0" fontId="35" fillId="5" borderId="11" xfId="0" applyFont="1" applyFill="1" applyBorder="1" applyAlignment="1"/>
    <xf numFmtId="0" fontId="35" fillId="5" borderId="35" xfId="0" applyFont="1" applyFill="1" applyBorder="1" applyAlignment="1"/>
    <xf numFmtId="0" fontId="29" fillId="5" borderId="23" xfId="0" applyFont="1" applyFill="1" applyBorder="1"/>
    <xf numFmtId="0" fontId="29" fillId="5" borderId="68" xfId="0" applyFont="1" applyFill="1" applyBorder="1" applyAlignment="1">
      <alignment horizontal="center" wrapText="1"/>
    </xf>
    <xf numFmtId="0" fontId="29" fillId="0" borderId="51" xfId="0" applyFont="1" applyBorder="1"/>
    <xf numFmtId="0" fontId="29" fillId="0" borderId="24" xfId="0" applyFont="1" applyBorder="1" applyAlignment="1">
      <alignment wrapText="1"/>
    </xf>
    <xf numFmtId="4" fontId="29" fillId="0" borderId="3" xfId="0" applyNumberFormat="1" applyFont="1" applyBorder="1"/>
    <xf numFmtId="4" fontId="29" fillId="0" borderId="18" xfId="0" applyNumberFormat="1" applyFont="1" applyBorder="1"/>
    <xf numFmtId="4" fontId="29" fillId="5" borderId="69" xfId="0" applyNumberFormat="1" applyFont="1" applyFill="1" applyBorder="1"/>
    <xf numFmtId="0" fontId="29" fillId="5" borderId="24" xfId="0" applyFont="1" applyFill="1" applyBorder="1" applyAlignment="1">
      <alignment wrapText="1"/>
    </xf>
    <xf numFmtId="10" fontId="29" fillId="0" borderId="24" xfId="0" applyNumberFormat="1" applyFont="1" applyBorder="1"/>
    <xf numFmtId="10" fontId="29" fillId="0" borderId="3" xfId="0" applyNumberFormat="1" applyFont="1" applyBorder="1"/>
    <xf numFmtId="10" fontId="29" fillId="0" borderId="18" xfId="0" applyNumberFormat="1" applyFont="1" applyBorder="1"/>
    <xf numFmtId="44" fontId="30" fillId="5" borderId="69" xfId="0" applyNumberFormat="1" applyFont="1" applyFill="1" applyBorder="1"/>
    <xf numFmtId="44" fontId="31" fillId="5" borderId="69" xfId="0" applyNumberFormat="1" applyFont="1" applyFill="1" applyBorder="1"/>
    <xf numFmtId="0" fontId="31" fillId="0" borderId="24" xfId="0" applyFont="1" applyBorder="1" applyAlignment="1">
      <alignment wrapText="1"/>
    </xf>
    <xf numFmtId="4" fontId="48" fillId="0" borderId="3" xfId="0" applyNumberFormat="1" applyFont="1" applyBorder="1"/>
    <xf numFmtId="4" fontId="48" fillId="0" borderId="18" xfId="0" applyNumberFormat="1" applyFont="1" applyBorder="1"/>
    <xf numFmtId="4" fontId="48" fillId="5" borderId="69" xfId="0" applyNumberFormat="1" applyFont="1" applyFill="1" applyBorder="1"/>
    <xf numFmtId="0" fontId="29" fillId="0" borderId="34" xfId="0" applyFont="1" applyBorder="1" applyAlignment="1">
      <alignment wrapText="1"/>
    </xf>
    <xf numFmtId="4" fontId="29" fillId="0" borderId="37" xfId="0" applyNumberFormat="1" applyFont="1" applyBorder="1"/>
    <xf numFmtId="4" fontId="29" fillId="0" borderId="38" xfId="0" applyNumberFormat="1" applyFont="1" applyBorder="1"/>
    <xf numFmtId="4" fontId="29" fillId="5" borderId="15" xfId="0" applyNumberFormat="1" applyFont="1" applyFill="1" applyBorder="1"/>
    <xf numFmtId="0" fontId="79" fillId="9" borderId="17" xfId="0" applyFont="1" applyFill="1" applyBorder="1" applyAlignment="1">
      <alignment wrapText="1"/>
    </xf>
    <xf numFmtId="172" fontId="79" fillId="9" borderId="17" xfId="0" applyNumberFormat="1" applyFont="1" applyFill="1" applyBorder="1"/>
    <xf numFmtId="172" fontId="86" fillId="9" borderId="17" xfId="0" applyNumberFormat="1" applyFont="1" applyFill="1" applyBorder="1"/>
    <xf numFmtId="172" fontId="86" fillId="9" borderId="43" xfId="0" applyNumberFormat="1" applyFont="1" applyFill="1" applyBorder="1"/>
    <xf numFmtId="172" fontId="30" fillId="5" borderId="43" xfId="0" applyNumberFormat="1" applyFont="1" applyFill="1" applyBorder="1"/>
    <xf numFmtId="0" fontId="79" fillId="9" borderId="24" xfId="0" applyFont="1" applyFill="1" applyBorder="1" applyAlignment="1">
      <alignment wrapText="1"/>
    </xf>
    <xf numFmtId="10" fontId="79" fillId="9" borderId="34" xfId="0" applyNumberFormat="1" applyFont="1" applyFill="1" applyBorder="1"/>
    <xf numFmtId="10" fontId="79" fillId="9" borderId="37" xfId="0" applyNumberFormat="1" applyFont="1" applyFill="1" applyBorder="1"/>
    <xf numFmtId="10" fontId="79" fillId="9" borderId="38" xfId="0" applyNumberFormat="1" applyFont="1" applyFill="1" applyBorder="1"/>
    <xf numFmtId="0" fontId="31" fillId="2" borderId="3" xfId="0" applyFont="1" applyFill="1" applyBorder="1" applyAlignment="1">
      <alignment wrapText="1"/>
    </xf>
    <xf numFmtId="42" fontId="29" fillId="2" borderId="3" xfId="0" applyNumberFormat="1" applyFont="1" applyFill="1" applyBorder="1"/>
    <xf numFmtId="10" fontId="29" fillId="2" borderId="3" xfId="0" applyNumberFormat="1" applyFont="1" applyFill="1" applyBorder="1"/>
    <xf numFmtId="0" fontId="29" fillId="2" borderId="17" xfId="0" applyFont="1" applyFill="1" applyBorder="1"/>
    <xf numFmtId="10" fontId="29" fillId="0" borderId="17" xfId="0" applyNumberFormat="1" applyFont="1" applyBorder="1"/>
    <xf numFmtId="10" fontId="29" fillId="2" borderId="17" xfId="0" applyNumberFormat="1" applyFont="1" applyFill="1" applyBorder="1"/>
    <xf numFmtId="0" fontId="29" fillId="2" borderId="3" xfId="0" applyFont="1" applyFill="1" applyBorder="1" applyAlignment="1">
      <alignment wrapText="1"/>
    </xf>
    <xf numFmtId="0" fontId="87" fillId="9" borderId="3" xfId="0" applyFont="1" applyFill="1" applyBorder="1" applyAlignment="1">
      <alignment wrapText="1"/>
    </xf>
    <xf numFmtId="42" fontId="31" fillId="2" borderId="3" xfId="0" applyNumberFormat="1" applyFont="1" applyFill="1" applyBorder="1"/>
    <xf numFmtId="9" fontId="31" fillId="2" borderId="57" xfId="10" applyFont="1" applyFill="1" applyBorder="1" applyAlignment="1">
      <alignment horizontal="center"/>
    </xf>
    <xf numFmtId="42" fontId="31" fillId="0" borderId="3" xfId="0" applyNumberFormat="1" applyFont="1" applyBorder="1"/>
    <xf numFmtId="42" fontId="31" fillId="0" borderId="0" xfId="0" applyNumberFormat="1" applyFont="1"/>
    <xf numFmtId="10" fontId="29" fillId="0" borderId="0" xfId="0" applyNumberFormat="1" applyFont="1"/>
    <xf numFmtId="9" fontId="31" fillId="2" borderId="3" xfId="10" applyFont="1" applyFill="1" applyBorder="1"/>
    <xf numFmtId="0" fontId="31" fillId="2" borderId="3" xfId="10" applyNumberFormat="1" applyFont="1" applyFill="1" applyBorder="1"/>
    <xf numFmtId="0" fontId="31" fillId="0" borderId="0" xfId="0" applyFont="1" applyFill="1"/>
    <xf numFmtId="42" fontId="31" fillId="5" borderId="3" xfId="0" applyNumberFormat="1" applyFont="1" applyFill="1" applyBorder="1" applyAlignment="1">
      <alignment horizontal="center"/>
    </xf>
    <xf numFmtId="42" fontId="88" fillId="5" borderId="3" xfId="0" applyNumberFormat="1" applyFont="1" applyFill="1" applyBorder="1" applyAlignment="1">
      <alignment horizontal="center"/>
    </xf>
    <xf numFmtId="0" fontId="88" fillId="5" borderId="69" xfId="0" applyFont="1" applyFill="1" applyBorder="1" applyAlignment="1">
      <alignment horizontal="center" vertical="center"/>
    </xf>
    <xf numFmtId="0" fontId="77" fillId="5" borderId="69" xfId="0" applyFont="1" applyFill="1" applyBorder="1" applyAlignment="1">
      <alignment horizontal="center" vertical="center"/>
    </xf>
    <xf numFmtId="0" fontId="31" fillId="6" borderId="24" xfId="0" applyFont="1" applyFill="1" applyBorder="1" applyAlignment="1">
      <alignment wrapText="1"/>
    </xf>
    <xf numFmtId="44" fontId="31" fillId="6" borderId="3" xfId="0" applyNumberFormat="1" applyFont="1" applyFill="1" applyBorder="1"/>
    <xf numFmtId="44" fontId="30" fillId="6" borderId="3" xfId="0" applyNumberFormat="1" applyFont="1" applyFill="1" applyBorder="1"/>
    <xf numFmtId="44" fontId="30" fillId="6" borderId="18" xfId="0" applyNumberFormat="1" applyFont="1" applyFill="1" applyBorder="1"/>
    <xf numFmtId="44" fontId="31" fillId="6" borderId="18" xfId="0" applyNumberFormat="1" applyFont="1" applyFill="1" applyBorder="1"/>
    <xf numFmtId="10" fontId="31" fillId="6" borderId="24" xfId="0" applyNumberFormat="1" applyFont="1" applyFill="1" applyBorder="1"/>
    <xf numFmtId="10" fontId="31" fillId="6" borderId="3" xfId="0" applyNumberFormat="1" applyFont="1" applyFill="1" applyBorder="1"/>
    <xf numFmtId="10" fontId="31" fillId="6" borderId="18" xfId="0" applyNumberFormat="1" applyFont="1" applyFill="1" applyBorder="1"/>
    <xf numFmtId="0" fontId="89" fillId="5" borderId="21" xfId="0" applyFont="1" applyFill="1" applyBorder="1" applyAlignment="1">
      <alignment horizontal="center"/>
    </xf>
    <xf numFmtId="0" fontId="89" fillId="5" borderId="22" xfId="0" applyFont="1" applyFill="1" applyBorder="1" applyAlignment="1">
      <alignment horizontal="center"/>
    </xf>
    <xf numFmtId="0" fontId="89" fillId="5" borderId="22" xfId="0" applyFont="1" applyFill="1" applyBorder="1"/>
    <xf numFmtId="0" fontId="90" fillId="5" borderId="28" xfId="0" applyFont="1" applyFill="1" applyBorder="1" applyAlignment="1">
      <alignment horizontal="center"/>
    </xf>
    <xf numFmtId="0" fontId="89" fillId="5" borderId="23" xfId="0" applyFont="1" applyFill="1" applyBorder="1"/>
    <xf numFmtId="0" fontId="89" fillId="5" borderId="34" xfId="0" applyFont="1" applyFill="1" applyBorder="1" applyAlignment="1">
      <alignment horizontal="center"/>
    </xf>
    <xf numFmtId="0" fontId="89" fillId="5" borderId="37" xfId="0" applyFont="1" applyFill="1" applyBorder="1" applyAlignment="1">
      <alignment horizontal="center"/>
    </xf>
    <xf numFmtId="0" fontId="89" fillId="5" borderId="37" xfId="0" applyFont="1" applyFill="1" applyBorder="1"/>
    <xf numFmtId="0" fontId="89" fillId="5" borderId="38" xfId="0" applyFont="1" applyFill="1" applyBorder="1"/>
    <xf numFmtId="0" fontId="89" fillId="5" borderId="3" xfId="0" applyFont="1" applyFill="1" applyBorder="1" applyAlignment="1">
      <alignment horizontal="left"/>
    </xf>
    <xf numFmtId="0" fontId="91" fillId="5" borderId="5" xfId="0" applyFont="1" applyFill="1" applyBorder="1" applyAlignment="1">
      <alignment horizontal="center"/>
    </xf>
    <xf numFmtId="0" fontId="91" fillId="5" borderId="22" xfId="0" applyFont="1" applyFill="1" applyBorder="1" applyAlignment="1">
      <alignment horizontal="center"/>
    </xf>
    <xf numFmtId="0" fontId="91" fillId="5" borderId="29" xfId="0" applyFont="1" applyFill="1" applyBorder="1" applyAlignment="1">
      <alignment horizontal="center"/>
    </xf>
    <xf numFmtId="0" fontId="89" fillId="5" borderId="29" xfId="0" applyFont="1" applyFill="1" applyBorder="1"/>
    <xf numFmtId="0" fontId="16" fillId="6" borderId="13" xfId="0" applyFont="1" applyFill="1" applyBorder="1" applyAlignment="1">
      <alignment horizontal="center"/>
    </xf>
    <xf numFmtId="166" fontId="8" fillId="6" borderId="3" xfId="0" applyNumberFormat="1" applyFont="1" applyFill="1" applyBorder="1" applyAlignment="1">
      <alignment horizontal="right"/>
    </xf>
    <xf numFmtId="166" fontId="16" fillId="6" borderId="3" xfId="0" applyNumberFormat="1" applyFont="1" applyFill="1" applyBorder="1" applyAlignment="1">
      <alignment horizontal="right"/>
    </xf>
    <xf numFmtId="166" fontId="16" fillId="6" borderId="3" xfId="4" applyNumberFormat="1" applyFont="1" applyFill="1" applyBorder="1" applyAlignment="1">
      <alignment horizontal="right"/>
    </xf>
    <xf numFmtId="166" fontId="16" fillId="6" borderId="8" xfId="0" applyNumberFormat="1" applyFont="1" applyFill="1" applyBorder="1" applyAlignment="1">
      <alignment horizontal="right"/>
    </xf>
    <xf numFmtId="0" fontId="16" fillId="6" borderId="28" xfId="0" applyFont="1" applyFill="1" applyBorder="1" applyAlignment="1"/>
    <xf numFmtId="44" fontId="16" fillId="6" borderId="23" xfId="4" applyFont="1" applyFill="1" applyBorder="1" applyAlignment="1">
      <alignment horizontal="right"/>
    </xf>
    <xf numFmtId="0" fontId="16" fillId="6" borderId="69" xfId="0" applyFont="1" applyFill="1" applyBorder="1" applyAlignment="1"/>
    <xf numFmtId="44" fontId="16" fillId="6" borderId="18" xfId="4" applyFont="1" applyFill="1" applyBorder="1" applyAlignment="1">
      <alignment horizontal="right"/>
    </xf>
    <xf numFmtId="0" fontId="16" fillId="6" borderId="0" xfId="0" applyFont="1" applyFill="1" applyBorder="1" applyAlignment="1"/>
    <xf numFmtId="44" fontId="16" fillId="6" borderId="19" xfId="4" applyFont="1" applyFill="1" applyBorder="1" applyAlignment="1">
      <alignment horizontal="right"/>
    </xf>
    <xf numFmtId="0" fontId="16" fillId="6" borderId="5" xfId="0" applyFont="1" applyFill="1" applyBorder="1" applyAlignment="1"/>
    <xf numFmtId="0" fontId="16" fillId="6" borderId="52" xfId="0" applyFont="1" applyFill="1" applyBorder="1" applyAlignment="1"/>
    <xf numFmtId="0" fontId="16" fillId="6" borderId="4" xfId="0" applyFont="1" applyFill="1" applyBorder="1" applyAlignment="1"/>
    <xf numFmtId="0" fontId="92" fillId="9" borderId="2" xfId="0" applyFont="1" applyFill="1" applyBorder="1" applyAlignment="1"/>
    <xf numFmtId="0" fontId="92" fillId="9" borderId="11" xfId="0" applyFont="1" applyFill="1" applyBorder="1" applyAlignment="1"/>
    <xf numFmtId="3" fontId="93" fillId="9" borderId="13" xfId="0" applyNumberFormat="1" applyFont="1" applyFill="1" applyBorder="1" applyAlignment="1">
      <alignment horizontal="right"/>
    </xf>
    <xf numFmtId="44" fontId="93" fillId="9" borderId="39" xfId="4" applyFont="1" applyFill="1" applyBorder="1" applyAlignment="1">
      <alignment horizontal="right"/>
    </xf>
    <xf numFmtId="44" fontId="92" fillId="9" borderId="70" xfId="4" applyFont="1" applyFill="1" applyBorder="1" applyAlignment="1">
      <alignment horizontal="center"/>
    </xf>
    <xf numFmtId="44" fontId="92" fillId="9" borderId="22" xfId="4" applyFont="1" applyFill="1" applyBorder="1" applyAlignment="1">
      <alignment horizontal="center"/>
    </xf>
    <xf numFmtId="44" fontId="92" fillId="9" borderId="17" xfId="4" applyFont="1" applyFill="1" applyBorder="1" applyAlignment="1">
      <alignment horizontal="center"/>
    </xf>
    <xf numFmtId="44" fontId="92" fillId="9" borderId="9" xfId="4" applyFont="1" applyFill="1" applyBorder="1" applyAlignment="1">
      <alignment horizontal="center"/>
    </xf>
    <xf numFmtId="44" fontId="93" fillId="9" borderId="71" xfId="4" applyFont="1" applyFill="1" applyBorder="1" applyAlignment="1">
      <alignment horizontal="center"/>
    </xf>
    <xf numFmtId="0" fontId="92" fillId="9" borderId="13" xfId="0" applyFont="1" applyFill="1" applyBorder="1" applyAlignment="1">
      <alignment horizontal="center"/>
    </xf>
    <xf numFmtId="44" fontId="92" fillId="9" borderId="49" xfId="4" applyFont="1" applyFill="1" applyBorder="1" applyAlignment="1">
      <alignment horizontal="center"/>
    </xf>
    <xf numFmtId="44" fontId="92" fillId="9" borderId="37" xfId="4" applyFont="1" applyFill="1" applyBorder="1" applyAlignment="1">
      <alignment horizontal="center"/>
    </xf>
    <xf numFmtId="44" fontId="93" fillId="9" borderId="38" xfId="4" applyFont="1" applyFill="1" applyBorder="1" applyAlignment="1">
      <alignment horizontal="center"/>
    </xf>
    <xf numFmtId="0" fontId="92" fillId="9" borderId="31" xfId="0" applyFont="1" applyFill="1" applyBorder="1" applyAlignment="1">
      <alignment horizontal="center"/>
    </xf>
    <xf numFmtId="44" fontId="92" fillId="9" borderId="66" xfId="4" applyFont="1" applyFill="1" applyBorder="1" applyAlignment="1">
      <alignment horizontal="center"/>
    </xf>
    <xf numFmtId="44" fontId="92" fillId="9" borderId="54" xfId="4" applyFont="1" applyFill="1" applyBorder="1" applyAlignment="1">
      <alignment horizontal="center"/>
    </xf>
    <xf numFmtId="44" fontId="93" fillId="9" borderId="62" xfId="4" applyFont="1" applyFill="1" applyBorder="1" applyAlignment="1">
      <alignment horizontal="center"/>
    </xf>
    <xf numFmtId="0" fontId="94" fillId="5" borderId="72" xfId="0" applyFont="1" applyFill="1" applyBorder="1" applyAlignment="1">
      <alignment horizontal="center"/>
    </xf>
    <xf numFmtId="0" fontId="94" fillId="5" borderId="64" xfId="0" applyFont="1" applyFill="1" applyBorder="1" applyAlignment="1">
      <alignment horizontal="center"/>
    </xf>
    <xf numFmtId="0" fontId="94" fillId="5" borderId="73" xfId="0" applyFont="1" applyFill="1" applyBorder="1" applyAlignment="1">
      <alignment horizontal="center"/>
    </xf>
    <xf numFmtId="0" fontId="94" fillId="5" borderId="74" xfId="0" applyFont="1" applyFill="1" applyBorder="1" applyAlignment="1">
      <alignment horizontal="center"/>
    </xf>
    <xf numFmtId="0" fontId="94" fillId="5" borderId="8" xfId="0" applyFont="1" applyFill="1" applyBorder="1" applyAlignment="1">
      <alignment horizontal="center" vertical="center" wrapText="1"/>
    </xf>
    <xf numFmtId="0" fontId="94" fillId="5" borderId="17" xfId="0" applyFont="1" applyFill="1" applyBorder="1" applyAlignment="1">
      <alignment horizontal="center" vertical="center" wrapText="1"/>
    </xf>
    <xf numFmtId="0" fontId="94" fillId="5" borderId="50" xfId="0" quotePrefix="1" applyFont="1" applyFill="1" applyBorder="1" applyAlignment="1">
      <alignment horizontal="center"/>
    </xf>
    <xf numFmtId="0" fontId="94" fillId="5" borderId="40" xfId="0" applyFont="1" applyFill="1" applyBorder="1" applyAlignment="1">
      <alignment horizontal="center"/>
    </xf>
    <xf numFmtId="0" fontId="94" fillId="5" borderId="23" xfId="0" applyFont="1" applyFill="1" applyBorder="1" applyAlignment="1">
      <alignment horizontal="center"/>
    </xf>
    <xf numFmtId="0" fontId="94" fillId="5" borderId="3" xfId="0" applyFont="1" applyFill="1" applyBorder="1" applyAlignment="1">
      <alignment horizontal="center"/>
    </xf>
    <xf numFmtId="2" fontId="94" fillId="5" borderId="3" xfId="0" applyNumberFormat="1" applyFont="1" applyFill="1" applyBorder="1" applyAlignment="1">
      <alignment horizontal="center"/>
    </xf>
    <xf numFmtId="0" fontId="95" fillId="9" borderId="24" xfId="0" applyFont="1" applyFill="1" applyBorder="1" applyAlignment="1">
      <alignment vertical="center" wrapText="1"/>
    </xf>
    <xf numFmtId="42" fontId="95" fillId="9" borderId="3" xfId="0" applyNumberFormat="1" applyFont="1" applyFill="1" applyBorder="1" applyAlignment="1">
      <alignment vertical="center" wrapText="1"/>
    </xf>
    <xf numFmtId="42" fontId="95" fillId="9" borderId="18" xfId="0" applyNumberFormat="1" applyFont="1" applyFill="1" applyBorder="1" applyAlignment="1">
      <alignment vertical="center" wrapText="1"/>
    </xf>
    <xf numFmtId="0" fontId="95" fillId="9" borderId="34" xfId="0" applyFont="1" applyFill="1" applyBorder="1"/>
    <xf numFmtId="4" fontId="95" fillId="9" borderId="37" xfId="0" applyNumberFormat="1" applyFont="1" applyFill="1" applyBorder="1" applyAlignment="1">
      <alignment vertical="center" wrapText="1"/>
    </xf>
    <xf numFmtId="4" fontId="95" fillId="9" borderId="38" xfId="0" applyNumberFormat="1" applyFont="1" applyFill="1" applyBorder="1" applyAlignment="1">
      <alignment vertical="center" wrapText="1"/>
    </xf>
    <xf numFmtId="0" fontId="96" fillId="5" borderId="24" xfId="0" applyFont="1" applyFill="1" applyBorder="1" applyAlignment="1">
      <alignment horizontal="center"/>
    </xf>
    <xf numFmtId="0" fontId="96" fillId="5" borderId="34" xfId="0" applyFont="1" applyFill="1" applyBorder="1" applyAlignment="1">
      <alignment horizontal="center"/>
    </xf>
    <xf numFmtId="43" fontId="12" fillId="6" borderId="3" xfId="2" applyFont="1" applyFill="1" applyBorder="1"/>
    <xf numFmtId="43" fontId="12" fillId="6" borderId="3" xfId="2" applyFont="1" applyFill="1" applyBorder="1" applyAlignment="1"/>
    <xf numFmtId="43" fontId="12" fillId="6" borderId="17" xfId="2" applyFont="1" applyFill="1" applyBorder="1"/>
    <xf numFmtId="44" fontId="13" fillId="6" borderId="18" xfId="0" applyNumberFormat="1" applyFont="1" applyFill="1" applyBorder="1" applyAlignment="1"/>
    <xf numFmtId="43" fontId="12" fillId="6" borderId="3" xfId="2" applyNumberFormat="1" applyFont="1" applyFill="1" applyBorder="1" applyAlignment="1"/>
    <xf numFmtId="43" fontId="12" fillId="6" borderId="3" xfId="2" applyFont="1" applyFill="1" applyBorder="1" applyAlignment="1">
      <alignment horizontal="center"/>
    </xf>
    <xf numFmtId="43" fontId="12" fillId="6" borderId="3" xfId="0" applyNumberFormat="1" applyFont="1" applyFill="1" applyBorder="1"/>
    <xf numFmtId="43" fontId="12" fillId="6" borderId="37" xfId="2" applyNumberFormat="1" applyFont="1" applyFill="1" applyBorder="1" applyAlignment="1"/>
    <xf numFmtId="43" fontId="12" fillId="6" borderId="37" xfId="2" applyFont="1" applyFill="1" applyBorder="1" applyAlignment="1">
      <alignment horizontal="center"/>
    </xf>
    <xf numFmtId="43" fontId="12" fillId="6" borderId="37" xfId="2" applyFont="1" applyFill="1" applyBorder="1" applyAlignment="1"/>
    <xf numFmtId="44" fontId="13" fillId="6" borderId="38" xfId="0" applyNumberFormat="1" applyFont="1" applyFill="1" applyBorder="1" applyAlignment="1"/>
    <xf numFmtId="10" fontId="13" fillId="6" borderId="2" xfId="0" applyNumberFormat="1" applyFont="1" applyFill="1" applyBorder="1" applyAlignment="1">
      <alignment horizontal="center" vertical="center"/>
    </xf>
    <xf numFmtId="10" fontId="13" fillId="6" borderId="35" xfId="0" applyNumberFormat="1" applyFont="1" applyFill="1" applyBorder="1" applyAlignment="1">
      <alignment horizontal="center" vertical="center"/>
    </xf>
    <xf numFmtId="0" fontId="13" fillId="6" borderId="25" xfId="0" quotePrefix="1" applyFont="1" applyFill="1" applyBorder="1" applyAlignment="1">
      <alignment horizontal="center" vertical="center" wrapText="1"/>
    </xf>
    <xf numFmtId="4" fontId="13" fillId="6" borderId="17" xfId="0" quotePrefix="1" applyNumberFormat="1" applyFont="1" applyFill="1" applyBorder="1" applyAlignment="1">
      <alignment horizontal="right" vertical="center" wrapText="1"/>
    </xf>
    <xf numFmtId="0" fontId="13" fillId="6" borderId="17" xfId="0" quotePrefix="1" applyFont="1" applyFill="1" applyBorder="1" applyAlignment="1">
      <alignment horizontal="center" vertical="center"/>
    </xf>
    <xf numFmtId="4" fontId="13" fillId="6" borderId="26" xfId="0" quotePrefix="1" applyNumberFormat="1" applyFont="1" applyFill="1" applyBorder="1" applyAlignment="1">
      <alignment horizontal="right" vertical="center" wrapText="1"/>
    </xf>
    <xf numFmtId="0" fontId="13" fillId="6" borderId="24" xfId="0" quotePrefix="1" applyFont="1" applyFill="1" applyBorder="1" applyAlignment="1">
      <alignment horizontal="center" vertical="center" wrapText="1"/>
    </xf>
    <xf numFmtId="167" fontId="12" fillId="6" borderId="3" xfId="0" applyNumberFormat="1" applyFont="1" applyFill="1" applyBorder="1" applyAlignment="1">
      <alignment horizontal="center"/>
    </xf>
    <xf numFmtId="44" fontId="12" fillId="6" borderId="18" xfId="4" applyNumberFormat="1" applyFont="1" applyFill="1" applyBorder="1" applyAlignment="1">
      <alignment horizontal="center"/>
    </xf>
    <xf numFmtId="0" fontId="13" fillId="6" borderId="34" xfId="0" quotePrefix="1" applyFont="1" applyFill="1" applyBorder="1" applyAlignment="1">
      <alignment horizontal="center" vertical="center" wrapText="1"/>
    </xf>
    <xf numFmtId="44" fontId="12" fillId="6" borderId="37" xfId="0" applyNumberFormat="1" applyFont="1" applyFill="1" applyBorder="1" applyAlignment="1"/>
    <xf numFmtId="167" fontId="12" fillId="6" borderId="37" xfId="0" applyNumberFormat="1" applyFont="1" applyFill="1" applyBorder="1" applyAlignment="1">
      <alignment horizontal="center"/>
    </xf>
    <xf numFmtId="44" fontId="12" fillId="6" borderId="38" xfId="4" applyNumberFormat="1" applyFont="1" applyFill="1" applyBorder="1" applyAlignment="1">
      <alignment horizontal="center"/>
    </xf>
    <xf numFmtId="44" fontId="95" fillId="9" borderId="38" xfId="4" applyNumberFormat="1" applyFont="1" applyFill="1" applyBorder="1" applyAlignment="1">
      <alignment horizontal="center"/>
    </xf>
    <xf numFmtId="8" fontId="95" fillId="9" borderId="3" xfId="0" applyNumberFormat="1" applyFont="1" applyFill="1" applyBorder="1"/>
    <xf numFmtId="2" fontId="95" fillId="9" borderId="3" xfId="10" applyNumberFormat="1" applyFont="1" applyFill="1" applyBorder="1" applyAlignment="1">
      <alignment horizontal="center"/>
    </xf>
    <xf numFmtId="9" fontId="95" fillId="9" borderId="3" xfId="0" applyNumberFormat="1" applyFont="1" applyFill="1" applyBorder="1" applyAlignment="1">
      <alignment horizontal="center"/>
    </xf>
    <xf numFmtId="44" fontId="97" fillId="9" borderId="6" xfId="0" applyNumberFormat="1" applyFont="1" applyFill="1" applyBorder="1"/>
    <xf numFmtId="9" fontId="97" fillId="9" borderId="20" xfId="0" applyNumberFormat="1" applyFont="1" applyFill="1" applyBorder="1"/>
    <xf numFmtId="10" fontId="95" fillId="9" borderId="20" xfId="0" applyNumberFormat="1" applyFont="1" applyFill="1" applyBorder="1"/>
    <xf numFmtId="42" fontId="13" fillId="6" borderId="24" xfId="0" applyNumberFormat="1" applyFont="1" applyFill="1" applyBorder="1" applyAlignment="1">
      <alignment vertical="center" wrapText="1"/>
    </xf>
    <xf numFmtId="42" fontId="13" fillId="6" borderId="3" xfId="0" applyNumberFormat="1" applyFont="1" applyFill="1" applyBorder="1" applyAlignment="1">
      <alignment vertical="center" wrapText="1"/>
    </xf>
    <xf numFmtId="42" fontId="13" fillId="6" borderId="18" xfId="0" applyNumberFormat="1" applyFont="1" applyFill="1" applyBorder="1" applyAlignment="1">
      <alignment vertical="center" wrapText="1"/>
    </xf>
    <xf numFmtId="0" fontId="12" fillId="6" borderId="24" xfId="0" applyFont="1" applyFill="1" applyBorder="1" applyAlignment="1">
      <alignment vertical="center" wrapText="1"/>
    </xf>
    <xf numFmtId="4" fontId="13" fillId="6" borderId="3" xfId="0" applyNumberFormat="1" applyFont="1" applyFill="1" applyBorder="1" applyAlignment="1">
      <alignment vertical="center" wrapText="1"/>
    </xf>
    <xf numFmtId="4" fontId="13" fillId="6" borderId="18" xfId="0" applyNumberFormat="1" applyFont="1" applyFill="1" applyBorder="1" applyAlignment="1">
      <alignment vertical="center" wrapText="1"/>
    </xf>
    <xf numFmtId="0" fontId="13" fillId="6" borderId="24" xfId="0" applyFont="1" applyFill="1" applyBorder="1" applyAlignment="1">
      <alignment vertical="center" wrapText="1"/>
    </xf>
    <xf numFmtId="42" fontId="12" fillId="6" borderId="3" xfId="0" applyNumberFormat="1" applyFont="1" applyFill="1" applyBorder="1" applyAlignment="1">
      <alignment vertical="center" wrapText="1"/>
    </xf>
    <xf numFmtId="0" fontId="29" fillId="0" borderId="3" xfId="0" applyFont="1" applyBorder="1" applyAlignment="1">
      <alignment horizontal="center"/>
    </xf>
    <xf numFmtId="9" fontId="29" fillId="0" borderId="0" xfId="0" applyNumberFormat="1" applyFont="1" applyBorder="1"/>
    <xf numFmtId="9" fontId="29" fillId="0" borderId="3" xfId="10" applyFont="1" applyBorder="1" applyAlignment="1"/>
    <xf numFmtId="10" fontId="29" fillId="6" borderId="3" xfId="10" applyNumberFormat="1" applyFont="1" applyFill="1" applyBorder="1" applyAlignment="1"/>
    <xf numFmtId="9" fontId="29" fillId="0" borderId="3" xfId="10" applyFont="1" applyBorder="1"/>
    <xf numFmtId="6" fontId="29" fillId="0" borderId="3" xfId="0" applyNumberFormat="1" applyFont="1" applyBorder="1"/>
    <xf numFmtId="9" fontId="29" fillId="0" borderId="0" xfId="10" applyFont="1"/>
    <xf numFmtId="8" fontId="29" fillId="0" borderId="0" xfId="0" applyNumberFormat="1" applyFont="1"/>
    <xf numFmtId="0" fontId="29" fillId="0" borderId="5" xfId="0" applyFont="1" applyBorder="1"/>
    <xf numFmtId="0" fontId="29" fillId="0" borderId="21" xfId="0" applyFont="1" applyBorder="1"/>
    <xf numFmtId="0" fontId="29" fillId="0" borderId="22" xfId="0" applyFont="1" applyBorder="1"/>
    <xf numFmtId="0" fontId="29" fillId="0" borderId="75" xfId="0" applyFont="1" applyBorder="1"/>
    <xf numFmtId="4" fontId="29" fillId="0" borderId="34" xfId="0" applyNumberFormat="1" applyFont="1" applyBorder="1"/>
    <xf numFmtId="9" fontId="31" fillId="7" borderId="3" xfId="0" applyNumberFormat="1" applyFont="1" applyFill="1" applyBorder="1" applyAlignment="1">
      <alignment horizontal="center"/>
    </xf>
    <xf numFmtId="2" fontId="29" fillId="0" borderId="0" xfId="0" applyNumberFormat="1" applyFont="1" applyBorder="1"/>
    <xf numFmtId="0" fontId="29" fillId="0" borderId="0" xfId="0" applyFont="1" applyBorder="1" applyAlignment="1">
      <alignment horizontal="right"/>
    </xf>
    <xf numFmtId="1" fontId="29" fillId="0" borderId="0" xfId="0" applyNumberFormat="1" applyFont="1" applyBorder="1"/>
    <xf numFmtId="9" fontId="78" fillId="9" borderId="3" xfId="10" applyFont="1" applyFill="1" applyBorder="1" applyAlignment="1"/>
    <xf numFmtId="6" fontId="78" fillId="9" borderId="3" xfId="0" applyNumberFormat="1" applyFont="1" applyFill="1" applyBorder="1"/>
    <xf numFmtId="10" fontId="78" fillId="9" borderId="3" xfId="10" applyNumberFormat="1" applyFont="1" applyFill="1" applyBorder="1" applyAlignment="1"/>
    <xf numFmtId="6" fontId="77" fillId="5" borderId="3" xfId="0" applyNumberFormat="1" applyFont="1" applyFill="1" applyBorder="1"/>
    <xf numFmtId="9" fontId="77" fillId="5" borderId="3" xfId="10" applyFont="1" applyFill="1" applyBorder="1" applyAlignment="1"/>
    <xf numFmtId="1" fontId="31" fillId="5" borderId="76" xfId="0" applyNumberFormat="1" applyFont="1" applyFill="1" applyBorder="1" applyAlignment="1">
      <alignment horizontal="center"/>
    </xf>
    <xf numFmtId="1" fontId="34" fillId="5" borderId="20" xfId="0" applyNumberFormat="1" applyFont="1" applyFill="1" applyBorder="1" applyAlignment="1">
      <alignment horizontal="center"/>
    </xf>
    <xf numFmtId="0" fontId="34" fillId="5" borderId="20" xfId="0" applyFont="1" applyFill="1" applyBorder="1" applyAlignment="1">
      <alignment horizontal="center"/>
    </xf>
    <xf numFmtId="0" fontId="95" fillId="9" borderId="34" xfId="0" applyFont="1" applyFill="1" applyBorder="1" applyAlignment="1">
      <alignment vertical="center" wrapText="1"/>
    </xf>
    <xf numFmtId="44" fontId="95" fillId="9" borderId="37" xfId="0" applyNumberFormat="1" applyFont="1" applyFill="1" applyBorder="1" applyAlignment="1">
      <alignment wrapText="1"/>
    </xf>
    <xf numFmtId="44" fontId="95" fillId="9" borderId="38" xfId="0" applyNumberFormat="1" applyFont="1" applyFill="1" applyBorder="1" applyAlignment="1">
      <alignment wrapText="1"/>
    </xf>
    <xf numFmtId="0" fontId="14" fillId="6" borderId="24" xfId="0" applyFont="1" applyFill="1" applyBorder="1" applyAlignment="1">
      <alignment vertical="center" wrapText="1"/>
    </xf>
    <xf numFmtId="44" fontId="14" fillId="6" borderId="3" xfId="0" applyNumberFormat="1" applyFont="1" applyFill="1" applyBorder="1" applyAlignment="1">
      <alignment wrapText="1"/>
    </xf>
    <xf numFmtId="44" fontId="14" fillId="6" borderId="18" xfId="0" applyNumberFormat="1" applyFont="1" applyFill="1" applyBorder="1" applyAlignment="1">
      <alignment wrapText="1"/>
    </xf>
    <xf numFmtId="0" fontId="29" fillId="0" borderId="28" xfId="0" applyFont="1" applyBorder="1"/>
    <xf numFmtId="0" fontId="29" fillId="0" borderId="29" xfId="0" applyFont="1" applyBorder="1"/>
    <xf numFmtId="0" fontId="35" fillId="5" borderId="7" xfId="0" applyFont="1" applyFill="1" applyBorder="1" applyAlignment="1"/>
    <xf numFmtId="0" fontId="35" fillId="5" borderId="4" xfId="0" applyFont="1" applyFill="1" applyBorder="1" applyAlignment="1">
      <alignment horizontal="center"/>
    </xf>
    <xf numFmtId="173" fontId="29" fillId="5" borderId="0" xfId="2" applyNumberFormat="1" applyFont="1" applyFill="1" applyBorder="1"/>
    <xf numFmtId="43" fontId="29" fillId="5" borderId="0" xfId="2" applyFont="1" applyFill="1" applyBorder="1"/>
    <xf numFmtId="43" fontId="31" fillId="5" borderId="0" xfId="2" applyFont="1" applyFill="1" applyBorder="1" applyAlignment="1">
      <alignment horizontal="right"/>
    </xf>
    <xf numFmtId="6" fontId="31" fillId="5" borderId="0" xfId="10" applyNumberFormat="1" applyFont="1" applyFill="1" applyBorder="1" applyAlignment="1"/>
    <xf numFmtId="166" fontId="31" fillId="5" borderId="0" xfId="2" applyNumberFormat="1" applyFont="1" applyFill="1" applyBorder="1" applyAlignment="1"/>
    <xf numFmtId="8" fontId="29" fillId="0" borderId="18" xfId="0" applyNumberFormat="1" applyFont="1" applyBorder="1"/>
    <xf numFmtId="44" fontId="31" fillId="0" borderId="19" xfId="4" applyFont="1" applyBorder="1"/>
    <xf numFmtId="0" fontId="29" fillId="14" borderId="25" xfId="0" applyFont="1" applyFill="1" applyBorder="1" applyAlignment="1">
      <alignment horizontal="left"/>
    </xf>
    <xf numFmtId="0" fontId="29" fillId="14" borderId="3" xfId="0" applyFont="1" applyFill="1" applyBorder="1"/>
    <xf numFmtId="44" fontId="29" fillId="14" borderId="17" xfId="4" applyFont="1" applyFill="1" applyBorder="1"/>
    <xf numFmtId="44" fontId="29" fillId="14" borderId="26" xfId="4" applyFont="1" applyFill="1" applyBorder="1"/>
    <xf numFmtId="0" fontId="29" fillId="14" borderId="69" xfId="0" applyFont="1" applyFill="1" applyBorder="1"/>
    <xf numFmtId="0" fontId="29" fillId="14" borderId="0" xfId="0" applyFont="1" applyFill="1" applyBorder="1"/>
    <xf numFmtId="0" fontId="29" fillId="14" borderId="15" xfId="0" applyFont="1" applyFill="1" applyBorder="1"/>
    <xf numFmtId="0" fontId="29" fillId="14" borderId="24" xfId="0" applyFont="1" applyFill="1" applyBorder="1" applyAlignment="1">
      <alignment horizontal="center"/>
    </xf>
    <xf numFmtId="9" fontId="29" fillId="14" borderId="3" xfId="0" applyNumberFormat="1" applyFont="1" applyFill="1" applyBorder="1" applyAlignment="1">
      <alignment horizontal="center"/>
    </xf>
    <xf numFmtId="9" fontId="29" fillId="14" borderId="18" xfId="0" applyNumberFormat="1" applyFont="1" applyFill="1" applyBorder="1" applyAlignment="1">
      <alignment horizontal="center"/>
    </xf>
    <xf numFmtId="0" fontId="29" fillId="14" borderId="24" xfId="0" applyFont="1" applyFill="1" applyBorder="1"/>
    <xf numFmtId="3" fontId="29" fillId="14" borderId="3" xfId="0" applyNumberFormat="1" applyFont="1" applyFill="1" applyBorder="1" applyAlignment="1">
      <alignment horizontal="right"/>
    </xf>
    <xf numFmtId="3" fontId="29" fillId="14" borderId="18" xfId="0" applyNumberFormat="1" applyFont="1" applyFill="1" applyBorder="1" applyAlignment="1">
      <alignment horizontal="right"/>
    </xf>
    <xf numFmtId="0" fontId="31" fillId="14" borderId="6" xfId="0" applyFont="1" applyFill="1" applyBorder="1" applyAlignment="1">
      <alignment horizontal="center"/>
    </xf>
    <xf numFmtId="0" fontId="31" fillId="14" borderId="13" xfId="0" applyFont="1" applyFill="1" applyBorder="1"/>
    <xf numFmtId="1" fontId="31" fillId="14" borderId="66" xfId="0" applyNumberFormat="1" applyFont="1" applyFill="1" applyBorder="1"/>
    <xf numFmtId="0" fontId="29" fillId="14" borderId="17" xfId="0" applyFont="1" applyFill="1" applyBorder="1"/>
    <xf numFmtId="0" fontId="29" fillId="14" borderId="52" xfId="0" applyFont="1" applyFill="1" applyBorder="1"/>
    <xf numFmtId="0" fontId="29" fillId="14" borderId="46" xfId="0" applyFont="1" applyFill="1" applyBorder="1"/>
    <xf numFmtId="0" fontId="29" fillId="14" borderId="61" xfId="0" applyFont="1" applyFill="1" applyBorder="1"/>
    <xf numFmtId="0" fontId="29" fillId="14" borderId="75" xfId="0" applyFont="1" applyFill="1" applyBorder="1"/>
    <xf numFmtId="0" fontId="33" fillId="14" borderId="6" xfId="0" applyFont="1" applyFill="1" applyBorder="1"/>
    <xf numFmtId="0" fontId="29" fillId="14" borderId="77" xfId="0" applyFont="1" applyFill="1" applyBorder="1"/>
    <xf numFmtId="0" fontId="98" fillId="0" borderId="4" xfId="0" applyFont="1" applyBorder="1" applyAlignment="1">
      <alignment horizontal="right"/>
    </xf>
    <xf numFmtId="0" fontId="99" fillId="0" borderId="0" xfId="0" applyFont="1" applyFill="1" applyBorder="1" applyAlignment="1">
      <alignment horizontal="center"/>
    </xf>
    <xf numFmtId="0" fontId="99" fillId="5" borderId="0" xfId="0" applyFont="1" applyFill="1" applyBorder="1" applyAlignment="1">
      <alignment horizontal="center"/>
    </xf>
    <xf numFmtId="0" fontId="100" fillId="5" borderId="0" xfId="0" applyFont="1" applyFill="1" applyAlignment="1">
      <alignment horizontal="center"/>
    </xf>
    <xf numFmtId="0" fontId="31" fillId="6" borderId="9" xfId="0" applyFont="1" applyFill="1" applyBorder="1" applyAlignment="1">
      <alignment horizontal="center" wrapText="1"/>
    </xf>
    <xf numFmtId="2" fontId="29" fillId="6" borderId="17" xfId="4" applyNumberFormat="1" applyFont="1" applyFill="1" applyBorder="1"/>
    <xf numFmtId="180" fontId="31" fillId="6" borderId="9" xfId="0" applyNumberFormat="1" applyFont="1" applyFill="1" applyBorder="1" applyAlignment="1">
      <alignment horizontal="center" wrapText="1"/>
    </xf>
    <xf numFmtId="44" fontId="29" fillId="6" borderId="17" xfId="4" applyFont="1" applyFill="1" applyBorder="1" applyAlignment="1">
      <alignment horizontal="right"/>
    </xf>
    <xf numFmtId="2" fontId="29" fillId="6" borderId="3" xfId="4" applyNumberFormat="1" applyFont="1" applyFill="1" applyBorder="1"/>
    <xf numFmtId="44" fontId="29" fillId="6" borderId="17" xfId="4" applyFont="1" applyFill="1" applyBorder="1"/>
    <xf numFmtId="6" fontId="33" fillId="5" borderId="0" xfId="0" applyNumberFormat="1" applyFont="1" applyFill="1" applyBorder="1" applyAlignment="1">
      <alignment horizontal="right" vertical="top" wrapText="1"/>
    </xf>
    <xf numFmtId="165" fontId="31" fillId="5" borderId="30" xfId="0" applyNumberFormat="1" applyFont="1" applyFill="1" applyBorder="1" applyAlignment="1">
      <alignment horizontal="center" vertical="center" wrapText="1" shrinkToFit="1"/>
    </xf>
    <xf numFmtId="165" fontId="31" fillId="5" borderId="5" xfId="0" applyNumberFormat="1" applyFont="1" applyFill="1" applyBorder="1" applyAlignment="1">
      <alignment horizontal="center" vertical="center" wrapText="1" shrinkToFit="1"/>
    </xf>
    <xf numFmtId="165" fontId="31" fillId="5" borderId="13" xfId="0" applyNumberFormat="1" applyFont="1" applyFill="1" applyBorder="1" applyAlignment="1">
      <alignment horizontal="center" vertical="center" wrapText="1" shrinkToFit="1"/>
    </xf>
    <xf numFmtId="0" fontId="49" fillId="0" borderId="5" xfId="0" applyFont="1" applyFill="1" applyBorder="1" applyAlignment="1">
      <alignment horizontal="center"/>
    </xf>
    <xf numFmtId="1" fontId="29" fillId="6" borderId="44" xfId="0" applyNumberFormat="1" applyFont="1" applyFill="1" applyBorder="1"/>
    <xf numFmtId="165" fontId="29" fillId="6" borderId="29" xfId="0" applyNumberFormat="1" applyFont="1" applyFill="1" applyBorder="1" applyAlignment="1">
      <alignment horizontal="right"/>
    </xf>
    <xf numFmtId="166" fontId="29" fillId="6" borderId="28" xfId="0" applyNumberFormat="1" applyFont="1" applyFill="1" applyBorder="1" applyAlignment="1">
      <alignment horizontal="center"/>
    </xf>
    <xf numFmtId="166" fontId="29" fillId="6" borderId="30" xfId="0" applyNumberFormat="1" applyFont="1" applyFill="1" applyBorder="1"/>
    <xf numFmtId="166" fontId="29" fillId="6" borderId="28" xfId="0" applyNumberFormat="1" applyFont="1" applyFill="1" applyBorder="1"/>
    <xf numFmtId="4" fontId="29" fillId="6" borderId="30" xfId="0" applyNumberFormat="1" applyFont="1" applyFill="1" applyBorder="1"/>
    <xf numFmtId="1" fontId="29" fillId="6" borderId="29" xfId="0" applyNumberFormat="1" applyFont="1" applyFill="1" applyBorder="1"/>
    <xf numFmtId="44" fontId="29" fillId="0" borderId="0" xfId="0" applyNumberFormat="1" applyFont="1" applyFill="1"/>
    <xf numFmtId="0" fontId="29" fillId="6" borderId="27" xfId="0" applyFont="1" applyFill="1" applyBorder="1"/>
    <xf numFmtId="44" fontId="29" fillId="6" borderId="76" xfId="4" applyFont="1" applyFill="1" applyBorder="1" applyAlignment="1">
      <alignment horizontal="right"/>
    </xf>
    <xf numFmtId="44" fontId="29" fillId="6" borderId="0" xfId="0" applyNumberFormat="1" applyFont="1" applyFill="1" applyBorder="1"/>
    <xf numFmtId="44" fontId="29" fillId="6" borderId="61" xfId="0" applyNumberFormat="1" applyFont="1" applyFill="1" applyBorder="1"/>
    <xf numFmtId="166" fontId="29" fillId="6" borderId="0" xfId="0" applyNumberFormat="1" applyFont="1" applyFill="1" applyBorder="1"/>
    <xf numFmtId="4" fontId="29" fillId="6" borderId="61" xfId="0" applyNumberFormat="1" applyFont="1" applyFill="1" applyBorder="1"/>
    <xf numFmtId="0" fontId="29" fillId="6" borderId="7" xfId="0" applyFont="1" applyFill="1" applyBorder="1"/>
    <xf numFmtId="4" fontId="29" fillId="6" borderId="76" xfId="0" applyNumberFormat="1" applyFont="1" applyFill="1" applyBorder="1" applyAlignment="1">
      <alignment horizontal="right"/>
    </xf>
    <xf numFmtId="166" fontId="31" fillId="6" borderId="0" xfId="0" applyNumberFormat="1" applyFont="1" applyFill="1" applyBorder="1"/>
    <xf numFmtId="0" fontId="31" fillId="0" borderId="0" xfId="0" applyFont="1" applyFill="1" applyAlignment="1">
      <alignment horizontal="center"/>
    </xf>
    <xf numFmtId="0" fontId="46" fillId="0" borderId="4" xfId="0" applyFont="1" applyFill="1" applyBorder="1"/>
    <xf numFmtId="44" fontId="29" fillId="6" borderId="7" xfId="4" applyFont="1" applyFill="1" applyBorder="1" applyAlignment="1">
      <alignment horizontal="right"/>
    </xf>
    <xf numFmtId="0" fontId="78" fillId="9" borderId="31" xfId="0" applyFont="1" applyFill="1" applyBorder="1"/>
    <xf numFmtId="165" fontId="78" fillId="9" borderId="20" xfId="0" applyNumberFormat="1" applyFont="1" applyFill="1" applyBorder="1" applyAlignment="1">
      <alignment horizontal="right"/>
    </xf>
    <xf numFmtId="44" fontId="79" fillId="9" borderId="69" xfId="4" applyFont="1" applyFill="1" applyBorder="1" applyAlignment="1">
      <alignment horizontal="center"/>
    </xf>
    <xf numFmtId="44" fontId="79" fillId="9" borderId="77" xfId="4" applyFont="1" applyFill="1" applyBorder="1"/>
    <xf numFmtId="44" fontId="79" fillId="9" borderId="69" xfId="4" applyFont="1" applyFill="1" applyBorder="1"/>
    <xf numFmtId="4" fontId="79" fillId="9" borderId="77" xfId="0" applyNumberFormat="1" applyFont="1" applyFill="1" applyBorder="1"/>
    <xf numFmtId="0" fontId="29" fillId="6" borderId="20" xfId="0" applyFont="1" applyFill="1" applyBorder="1"/>
    <xf numFmtId="165" fontId="29" fillId="5" borderId="0" xfId="0" applyNumberFormat="1" applyFont="1" applyFill="1" applyBorder="1" applyAlignment="1">
      <alignment horizontal="right"/>
    </xf>
    <xf numFmtId="0" fontId="29" fillId="6" borderId="29" xfId="0" applyFont="1" applyFill="1" applyBorder="1"/>
    <xf numFmtId="0" fontId="60" fillId="0" borderId="5" xfId="0" applyFont="1" applyFill="1" applyBorder="1" applyAlignment="1">
      <alignment horizontal="left"/>
    </xf>
    <xf numFmtId="1" fontId="29" fillId="6" borderId="30" xfId="0" applyNumberFormat="1" applyFont="1" applyFill="1" applyBorder="1"/>
    <xf numFmtId="44" fontId="79" fillId="9" borderId="78" xfId="4" applyFont="1" applyFill="1" applyBorder="1" applyAlignment="1">
      <alignment horizontal="center"/>
    </xf>
    <xf numFmtId="44" fontId="79" fillId="9" borderId="78" xfId="4" applyFont="1" applyFill="1" applyBorder="1"/>
    <xf numFmtId="4" fontId="29" fillId="5" borderId="0" xfId="0" applyNumberFormat="1" applyFont="1" applyFill="1"/>
    <xf numFmtId="166" fontId="29" fillId="5" borderId="0" xfId="0" applyNumberFormat="1" applyFont="1" applyFill="1"/>
    <xf numFmtId="165" fontId="31" fillId="5" borderId="2" xfId="0" applyNumberFormat="1" applyFont="1" applyFill="1" applyBorder="1" applyAlignment="1">
      <alignment horizontal="center" vertical="center" wrapText="1" shrinkToFit="1"/>
    </xf>
    <xf numFmtId="3" fontId="29" fillId="5" borderId="0" xfId="0" applyNumberFormat="1" applyFont="1" applyFill="1" applyBorder="1"/>
    <xf numFmtId="165" fontId="31" fillId="15" borderId="30" xfId="0" applyNumberFormat="1" applyFont="1" applyFill="1" applyBorder="1" applyAlignment="1">
      <alignment horizontal="center" vertical="center" wrapText="1" shrinkToFit="1"/>
    </xf>
    <xf numFmtId="165" fontId="31" fillId="15" borderId="29" xfId="0" applyNumberFormat="1" applyFont="1" applyFill="1" applyBorder="1" applyAlignment="1">
      <alignment horizontal="center" vertical="center" wrapText="1" shrinkToFit="1"/>
    </xf>
    <xf numFmtId="165" fontId="31" fillId="15" borderId="28" xfId="0" applyNumberFormat="1" applyFont="1" applyFill="1" applyBorder="1" applyAlignment="1">
      <alignment horizontal="center" vertical="center" wrapText="1" shrinkToFit="1"/>
    </xf>
    <xf numFmtId="165" fontId="31" fillId="15" borderId="35" xfId="0" applyNumberFormat="1" applyFont="1" applyFill="1" applyBorder="1" applyAlignment="1">
      <alignment horizontal="center" vertical="center" wrapText="1" shrinkToFit="1"/>
    </xf>
    <xf numFmtId="0" fontId="49" fillId="0" borderId="5" xfId="0" applyFont="1" applyBorder="1" applyAlignment="1">
      <alignment horizontal="center"/>
    </xf>
    <xf numFmtId="1" fontId="29" fillId="16" borderId="30" xfId="0" applyNumberFormat="1" applyFont="1" applyFill="1" applyBorder="1"/>
    <xf numFmtId="165" fontId="29" fillId="16" borderId="29" xfId="0" applyNumberFormat="1" applyFont="1" applyFill="1" applyBorder="1" applyAlignment="1">
      <alignment horizontal="right"/>
    </xf>
    <xf numFmtId="166" fontId="29" fillId="16" borderId="28" xfId="0" applyNumberFormat="1" applyFont="1" applyFill="1" applyBorder="1" applyAlignment="1">
      <alignment horizontal="center"/>
    </xf>
    <xf numFmtId="166" fontId="29" fillId="16" borderId="30" xfId="0" applyNumberFormat="1" applyFont="1" applyFill="1" applyBorder="1"/>
    <xf numFmtId="166" fontId="29" fillId="16" borderId="0" xfId="0" applyNumberFormat="1" applyFont="1" applyFill="1"/>
    <xf numFmtId="4" fontId="29" fillId="16" borderId="27" xfId="0" applyNumberFormat="1" applyFont="1" applyFill="1" applyBorder="1"/>
    <xf numFmtId="0" fontId="29" fillId="16" borderId="7" xfId="0" applyFont="1" applyFill="1" applyBorder="1"/>
    <xf numFmtId="0" fontId="29" fillId="16" borderId="27" xfId="0" applyFont="1" applyFill="1" applyBorder="1"/>
    <xf numFmtId="44" fontId="29" fillId="16" borderId="76" xfId="0" applyNumberFormat="1" applyFont="1" applyFill="1" applyBorder="1" applyAlignment="1">
      <alignment horizontal="right"/>
    </xf>
    <xf numFmtId="44" fontId="29" fillId="16" borderId="0" xfId="0" applyNumberFormat="1" applyFont="1" applyFill="1"/>
    <xf numFmtId="44" fontId="29" fillId="16" borderId="61" xfId="0" applyNumberFormat="1" applyFont="1" applyFill="1" applyBorder="1"/>
    <xf numFmtId="4" fontId="29" fillId="16" borderId="61" xfId="0" applyNumberFormat="1" applyFont="1" applyFill="1" applyBorder="1"/>
    <xf numFmtId="4" fontId="29" fillId="16" borderId="79" xfId="0" applyNumberFormat="1" applyFont="1" applyFill="1" applyBorder="1" applyAlignment="1">
      <alignment horizontal="right"/>
    </xf>
    <xf numFmtId="44" fontId="29" fillId="16" borderId="46" xfId="0" applyNumberFormat="1" applyFont="1" applyFill="1" applyBorder="1"/>
    <xf numFmtId="166" fontId="31" fillId="16" borderId="0" xfId="0" applyNumberFormat="1" applyFont="1" applyFill="1"/>
    <xf numFmtId="4" fontId="29" fillId="16" borderId="46" xfId="0" applyNumberFormat="1" applyFont="1" applyFill="1" applyBorder="1"/>
    <xf numFmtId="0" fontId="78" fillId="17" borderId="6" xfId="0" applyFont="1" applyFill="1" applyBorder="1"/>
    <xf numFmtId="0" fontId="78" fillId="17" borderId="31" xfId="0" applyFont="1" applyFill="1" applyBorder="1"/>
    <xf numFmtId="165" fontId="78" fillId="17" borderId="20" xfId="0" applyNumberFormat="1" applyFont="1" applyFill="1" applyBorder="1" applyAlignment="1">
      <alignment horizontal="right"/>
    </xf>
    <xf numFmtId="44" fontId="79" fillId="17" borderId="69" xfId="0" applyNumberFormat="1" applyFont="1" applyFill="1" applyBorder="1" applyAlignment="1">
      <alignment horizontal="center"/>
    </xf>
    <xf numFmtId="44" fontId="79" fillId="17" borderId="31" xfId="0" applyNumberFormat="1" applyFont="1" applyFill="1" applyBorder="1"/>
    <xf numFmtId="44" fontId="79" fillId="17" borderId="69" xfId="0" applyNumberFormat="1" applyFont="1" applyFill="1" applyBorder="1"/>
    <xf numFmtId="4" fontId="79" fillId="17" borderId="31" xfId="0" applyNumberFormat="1" applyFont="1" applyFill="1" applyBorder="1"/>
    <xf numFmtId="0" fontId="29" fillId="16" borderId="20" xfId="0" applyFont="1" applyFill="1" applyBorder="1"/>
    <xf numFmtId="44" fontId="79" fillId="9" borderId="30" xfId="4" applyFont="1" applyFill="1" applyBorder="1" applyAlignment="1">
      <alignment horizontal="center"/>
    </xf>
    <xf numFmtId="44" fontId="79" fillId="9" borderId="30" xfId="4" applyFont="1" applyFill="1" applyBorder="1"/>
    <xf numFmtId="166" fontId="78" fillId="9" borderId="31" xfId="0" applyNumberFormat="1" applyFont="1" applyFill="1" applyBorder="1"/>
    <xf numFmtId="4" fontId="78" fillId="9" borderId="31" xfId="0" applyNumberFormat="1" applyFont="1" applyFill="1" applyBorder="1"/>
    <xf numFmtId="0" fontId="31" fillId="5" borderId="0" xfId="0" applyFont="1" applyFill="1" applyBorder="1" applyAlignment="1">
      <alignment horizontal="center" vertical="center"/>
    </xf>
    <xf numFmtId="0" fontId="29" fillId="5" borderId="13" xfId="0" applyFont="1" applyFill="1" applyBorder="1"/>
    <xf numFmtId="0" fontId="29" fillId="6" borderId="13" xfId="0" applyFont="1" applyFill="1" applyBorder="1" applyAlignment="1">
      <alignment horizontal="center"/>
    </xf>
    <xf numFmtId="3" fontId="29" fillId="5" borderId="0" xfId="0" applyNumberFormat="1" applyFont="1" applyFill="1"/>
    <xf numFmtId="0" fontId="45" fillId="0" borderId="17" xfId="0" applyFont="1" applyFill="1" applyBorder="1"/>
    <xf numFmtId="0" fontId="29" fillId="0" borderId="17" xfId="0" applyFont="1" applyFill="1" applyBorder="1"/>
    <xf numFmtId="166" fontId="29" fillId="6" borderId="3" xfId="0" applyNumberFormat="1" applyFont="1" applyFill="1" applyBorder="1"/>
    <xf numFmtId="0" fontId="48" fillId="0" borderId="3" xfId="0" applyFont="1" applyFill="1" applyBorder="1"/>
    <xf numFmtId="0" fontId="29" fillId="0" borderId="3" xfId="0" applyFont="1" applyFill="1" applyBorder="1"/>
    <xf numFmtId="0" fontId="48" fillId="5" borderId="0" xfId="0" applyFont="1" applyFill="1" applyBorder="1"/>
    <xf numFmtId="166" fontId="34" fillId="5" borderId="0" xfId="0" applyNumberFormat="1" applyFont="1" applyFill="1" applyBorder="1"/>
    <xf numFmtId="165" fontId="29" fillId="5" borderId="0" xfId="0" applyNumberFormat="1" applyFont="1" applyFill="1" applyAlignment="1">
      <alignment horizontal="center"/>
    </xf>
    <xf numFmtId="166" fontId="29" fillId="0" borderId="0" xfId="0" applyNumberFormat="1" applyFont="1" applyFill="1"/>
    <xf numFmtId="165" fontId="29" fillId="0" borderId="0" xfId="0" applyNumberFormat="1" applyFont="1" applyFill="1" applyAlignment="1">
      <alignment horizontal="center"/>
    </xf>
    <xf numFmtId="0" fontId="45" fillId="6" borderId="74" xfId="0" applyFont="1" applyFill="1" applyBorder="1" applyAlignment="1">
      <alignment horizontal="center" vertical="center" wrapText="1"/>
    </xf>
    <xf numFmtId="0" fontId="45" fillId="6" borderId="64" xfId="0" applyFont="1" applyFill="1" applyBorder="1" applyAlignment="1">
      <alignment horizontal="center" vertical="center" wrapText="1"/>
    </xf>
    <xf numFmtId="0" fontId="45" fillId="6" borderId="65" xfId="0" applyFont="1" applyFill="1" applyBorder="1" applyAlignment="1">
      <alignment horizontal="center" vertical="center" wrapText="1"/>
    </xf>
    <xf numFmtId="0" fontId="46" fillId="6" borderId="65" xfId="0" applyFont="1" applyFill="1" applyBorder="1" applyAlignment="1">
      <alignment horizontal="center" vertical="center" wrapText="1"/>
    </xf>
    <xf numFmtId="1" fontId="29" fillId="0" borderId="0" xfId="0" applyNumberFormat="1" applyFont="1"/>
    <xf numFmtId="1" fontId="29" fillId="0" borderId="3" xfId="0" applyNumberFormat="1" applyFont="1" applyBorder="1"/>
    <xf numFmtId="0" fontId="29" fillId="5" borderId="0" xfId="0" applyFont="1" applyFill="1" applyBorder="1" applyAlignment="1">
      <alignment horizontal="justify" vertical="top" wrapText="1"/>
    </xf>
    <xf numFmtId="44" fontId="29" fillId="0" borderId="3" xfId="0" applyNumberFormat="1" applyFont="1" applyBorder="1"/>
    <xf numFmtId="0" fontId="31" fillId="5" borderId="13" xfId="0" applyFont="1" applyFill="1" applyBorder="1" applyAlignment="1">
      <alignment horizontal="center" wrapText="1"/>
    </xf>
    <xf numFmtId="0" fontId="101" fillId="9" borderId="57" xfId="0" applyFont="1" applyFill="1" applyBorder="1"/>
    <xf numFmtId="0" fontId="29" fillId="0" borderId="30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45" fillId="4" borderId="74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6" fillId="4" borderId="65" xfId="0" applyFont="1" applyFill="1" applyBorder="1" applyAlignment="1">
      <alignment horizontal="center" vertical="center" wrapText="1"/>
    </xf>
    <xf numFmtId="1" fontId="29" fillId="5" borderId="0" xfId="0" applyNumberFormat="1" applyFont="1" applyFill="1" applyBorder="1"/>
    <xf numFmtId="0" fontId="29" fillId="5" borderId="3" xfId="0" applyFont="1" applyFill="1" applyBorder="1" applyAlignment="1">
      <alignment horizontal="justify" vertical="top" wrapText="1"/>
    </xf>
    <xf numFmtId="4" fontId="29" fillId="5" borderId="3" xfId="0" applyNumberFormat="1" applyFont="1" applyFill="1" applyBorder="1" applyAlignment="1">
      <alignment horizontal="right" vertical="top" wrapText="1"/>
    </xf>
    <xf numFmtId="0" fontId="31" fillId="18" borderId="31" xfId="0" applyFont="1" applyFill="1" applyBorder="1" applyAlignment="1">
      <alignment horizontal="center" wrapText="1"/>
    </xf>
    <xf numFmtId="0" fontId="33" fillId="7" borderId="45" xfId="0" applyFont="1" applyFill="1" applyBorder="1"/>
    <xf numFmtId="44" fontId="33" fillId="7" borderId="17" xfId="4" applyFont="1" applyFill="1" applyBorder="1"/>
    <xf numFmtId="44" fontId="33" fillId="7" borderId="17" xfId="0" applyNumberFormat="1" applyFont="1" applyFill="1" applyBorder="1"/>
    <xf numFmtId="167" fontId="29" fillId="0" borderId="3" xfId="0" applyNumberFormat="1" applyFont="1" applyBorder="1"/>
    <xf numFmtId="0" fontId="31" fillId="18" borderId="13" xfId="0" applyFont="1" applyFill="1" applyBorder="1" applyAlignment="1">
      <alignment horizontal="center" wrapText="1"/>
    </xf>
    <xf numFmtId="0" fontId="33" fillId="7" borderId="57" xfId="0" applyFont="1" applyFill="1" applyBorder="1"/>
    <xf numFmtId="44" fontId="33" fillId="7" borderId="3" xfId="4" applyFont="1" applyFill="1" applyBorder="1"/>
    <xf numFmtId="44" fontId="33" fillId="7" borderId="3" xfId="0" applyNumberFormat="1" applyFont="1" applyFill="1" applyBorder="1"/>
    <xf numFmtId="0" fontId="33" fillId="8" borderId="12" xfId="0" applyFont="1" applyFill="1" applyBorder="1"/>
    <xf numFmtId="0" fontId="33" fillId="8" borderId="9" xfId="0" applyFont="1" applyFill="1" applyBorder="1"/>
    <xf numFmtId="44" fontId="33" fillId="8" borderId="9" xfId="0" applyNumberFormat="1" applyFont="1" applyFill="1" applyBorder="1"/>
    <xf numFmtId="44" fontId="33" fillId="8" borderId="10" xfId="0" applyNumberFormat="1" applyFont="1" applyFill="1" applyBorder="1"/>
    <xf numFmtId="0" fontId="102" fillId="5" borderId="0" xfId="0" applyFont="1" applyFill="1"/>
    <xf numFmtId="0" fontId="102" fillId="5" borderId="13" xfId="0" applyFont="1" applyFill="1" applyBorder="1" applyAlignment="1">
      <alignment horizontal="center"/>
    </xf>
    <xf numFmtId="0" fontId="103" fillId="5" borderId="11" xfId="0" applyFont="1" applyFill="1" applyBorder="1"/>
    <xf numFmtId="0" fontId="103" fillId="5" borderId="2" xfId="0" applyFont="1" applyFill="1" applyBorder="1"/>
    <xf numFmtId="0" fontId="48" fillId="5" borderId="24" xfId="0" applyFont="1" applyFill="1" applyBorder="1"/>
    <xf numFmtId="0" fontId="48" fillId="5" borderId="53" xfId="0" applyFont="1" applyFill="1" applyBorder="1"/>
    <xf numFmtId="44" fontId="29" fillId="5" borderId="8" xfId="4" applyFont="1" applyFill="1" applyBorder="1"/>
    <xf numFmtId="0" fontId="77" fillId="5" borderId="0" xfId="0" applyFont="1" applyFill="1"/>
    <xf numFmtId="44" fontId="30" fillId="5" borderId="24" xfId="4" applyFont="1" applyFill="1" applyBorder="1" applyAlignment="1">
      <alignment horizontal="center"/>
    </xf>
    <xf numFmtId="3" fontId="29" fillId="5" borderId="3" xfId="0" applyNumberFormat="1" applyFont="1" applyFill="1" applyBorder="1" applyAlignment="1">
      <alignment horizontal="center"/>
    </xf>
    <xf numFmtId="174" fontId="29" fillId="5" borderId="3" xfId="4" applyNumberFormat="1" applyFont="1" applyFill="1" applyBorder="1" applyAlignment="1">
      <alignment horizontal="center"/>
    </xf>
    <xf numFmtId="168" fontId="29" fillId="5" borderId="18" xfId="0" applyNumberFormat="1" applyFont="1" applyFill="1" applyBorder="1"/>
    <xf numFmtId="0" fontId="49" fillId="5" borderId="24" xfId="0" applyFont="1" applyFill="1" applyBorder="1" applyAlignment="1">
      <alignment horizontal="center"/>
    </xf>
    <xf numFmtId="44" fontId="29" fillId="5" borderId="3" xfId="4" applyFont="1" applyFill="1" applyBorder="1" applyAlignment="1">
      <alignment horizontal="center"/>
    </xf>
    <xf numFmtId="44" fontId="29" fillId="5" borderId="18" xfId="4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/>
    </xf>
    <xf numFmtId="9" fontId="29" fillId="5" borderId="3" xfId="10" applyFont="1" applyFill="1" applyBorder="1" applyAlignment="1">
      <alignment horizontal="center"/>
    </xf>
    <xf numFmtId="0" fontId="88" fillId="5" borderId="0" xfId="0" applyFont="1" applyFill="1" applyBorder="1"/>
    <xf numFmtId="0" fontId="77" fillId="5" borderId="0" xfId="0" applyFont="1" applyFill="1" applyBorder="1"/>
    <xf numFmtId="44" fontId="102" fillId="2" borderId="0" xfId="4" applyFont="1" applyFill="1" applyBorder="1"/>
    <xf numFmtId="44" fontId="77" fillId="5" borderId="0" xfId="4" applyFont="1" applyFill="1" applyBorder="1"/>
    <xf numFmtId="0" fontId="77" fillId="0" borderId="0" xfId="0" applyFont="1"/>
    <xf numFmtId="0" fontId="104" fillId="5" borderId="2" xfId="0" applyFont="1" applyFill="1" applyBorder="1" applyAlignment="1">
      <alignment horizontal="center"/>
    </xf>
    <xf numFmtId="0" fontId="104" fillId="5" borderId="11" xfId="0" applyFont="1" applyFill="1" applyBorder="1" applyAlignment="1"/>
    <xf numFmtId="165" fontId="85" fillId="0" borderId="0" xfId="0" applyNumberFormat="1" applyFont="1" applyFill="1" applyBorder="1" applyAlignment="1">
      <alignment horizontal="center"/>
    </xf>
    <xf numFmtId="4" fontId="88" fillId="5" borderId="12" xfId="0" applyNumberFormat="1" applyFont="1" applyFill="1" applyBorder="1" applyAlignment="1">
      <alignment horizontal="center"/>
    </xf>
    <xf numFmtId="44" fontId="88" fillId="5" borderId="9" xfId="0" applyNumberFormat="1" applyFont="1" applyFill="1" applyBorder="1" applyAlignment="1">
      <alignment horizontal="center"/>
    </xf>
    <xf numFmtId="44" fontId="88" fillId="5" borderId="10" xfId="0" applyNumberFormat="1" applyFont="1" applyFill="1" applyBorder="1" applyAlignment="1">
      <alignment horizontal="center"/>
    </xf>
    <xf numFmtId="4" fontId="29" fillId="0" borderId="4" xfId="0" applyNumberFormat="1" applyFont="1" applyBorder="1"/>
    <xf numFmtId="44" fontId="29" fillId="0" borderId="0" xfId="0" applyNumberFormat="1" applyFont="1" applyBorder="1"/>
    <xf numFmtId="0" fontId="29" fillId="5" borderId="25" xfId="0" applyFont="1" applyFill="1" applyBorder="1" applyAlignment="1">
      <alignment vertical="center"/>
    </xf>
    <xf numFmtId="0" fontId="29" fillId="5" borderId="17" xfId="0" applyFont="1" applyFill="1" applyBorder="1" applyAlignment="1">
      <alignment vertical="center"/>
    </xf>
    <xf numFmtId="0" fontId="31" fillId="5" borderId="17" xfId="0" applyFont="1" applyFill="1" applyBorder="1" applyAlignment="1">
      <alignment vertical="center"/>
    </xf>
    <xf numFmtId="0" fontId="29" fillId="5" borderId="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left"/>
    </xf>
    <xf numFmtId="44" fontId="29" fillId="0" borderId="7" xfId="0" applyNumberFormat="1" applyFont="1" applyBorder="1"/>
    <xf numFmtId="44" fontId="29" fillId="0" borderId="18" xfId="0" applyNumberFormat="1" applyFont="1" applyBorder="1"/>
    <xf numFmtId="179" fontId="29" fillId="2" borderId="24" xfId="10" applyNumberFormat="1" applyFont="1" applyFill="1" applyBorder="1" applyAlignment="1">
      <alignment horizontal="center"/>
    </xf>
    <xf numFmtId="4" fontId="105" fillId="0" borderId="0" xfId="0" applyNumberFormat="1" applyFont="1" applyBorder="1"/>
    <xf numFmtId="4" fontId="29" fillId="0" borderId="8" xfId="0" applyNumberFormat="1" applyFont="1" applyBorder="1"/>
    <xf numFmtId="4" fontId="29" fillId="0" borderId="0" xfId="0" applyNumberFormat="1" applyFont="1" applyBorder="1"/>
    <xf numFmtId="0" fontId="106" fillId="9" borderId="0" xfId="0" applyFont="1" applyFill="1" applyBorder="1" applyAlignment="1">
      <alignment horizontal="center"/>
    </xf>
    <xf numFmtId="4" fontId="79" fillId="9" borderId="13" xfId="0" applyNumberFormat="1" applyFont="1" applyFill="1" applyBorder="1"/>
    <xf numFmtId="4" fontId="31" fillId="0" borderId="0" xfId="0" applyNumberFormat="1" applyFont="1" applyBorder="1"/>
    <xf numFmtId="179" fontId="79" fillId="9" borderId="24" xfId="10" applyNumberFormat="1" applyFont="1" applyFill="1" applyBorder="1" applyAlignment="1">
      <alignment horizontal="center"/>
    </xf>
    <xf numFmtId="4" fontId="29" fillId="0" borderId="17" xfId="0" applyNumberFormat="1" applyFont="1" applyBorder="1"/>
    <xf numFmtId="4" fontId="29" fillId="0" borderId="45" xfId="0" applyNumberFormat="1" applyFont="1" applyBorder="1"/>
    <xf numFmtId="4" fontId="29" fillId="0" borderId="26" xfId="0" applyNumberFormat="1" applyFont="1" applyBorder="1"/>
    <xf numFmtId="0" fontId="29" fillId="0" borderId="0" xfId="0" applyFont="1" applyBorder="1" applyAlignment="1"/>
    <xf numFmtId="4" fontId="29" fillId="0" borderId="49" xfId="0" applyNumberFormat="1" applyFont="1" applyBorder="1"/>
    <xf numFmtId="0" fontId="41" fillId="5" borderId="0" xfId="0" applyFont="1" applyFill="1" applyBorder="1" applyAlignment="1">
      <alignment horizontal="center"/>
    </xf>
    <xf numFmtId="4" fontId="29" fillId="5" borderId="26" xfId="0" applyNumberFormat="1" applyFont="1" applyFill="1" applyBorder="1"/>
    <xf numFmtId="0" fontId="41" fillId="0" borderId="0" xfId="0" applyFont="1" applyBorder="1" applyAlignment="1">
      <alignment horizontal="center"/>
    </xf>
    <xf numFmtId="4" fontId="29" fillId="0" borderId="80" xfId="0" applyNumberFormat="1" applyFont="1" applyBorder="1"/>
    <xf numFmtId="4" fontId="79" fillId="9" borderId="0" xfId="0" applyNumberFormat="1" applyFont="1" applyFill="1" applyBorder="1"/>
    <xf numFmtId="4" fontId="79" fillId="9" borderId="29" xfId="0" applyNumberFormat="1" applyFont="1" applyFill="1" applyBorder="1"/>
    <xf numFmtId="4" fontId="79" fillId="9" borderId="30" xfId="0" applyNumberFormat="1" applyFont="1" applyFill="1" applyBorder="1"/>
    <xf numFmtId="0" fontId="41" fillId="0" borderId="0" xfId="0" applyFont="1" applyBorder="1" applyAlignment="1"/>
    <xf numFmtId="4" fontId="31" fillId="0" borderId="17" xfId="0" applyNumberFormat="1" applyFont="1" applyBorder="1"/>
    <xf numFmtId="4" fontId="31" fillId="0" borderId="3" xfId="0" applyNumberFormat="1" applyFont="1" applyBorder="1"/>
    <xf numFmtId="4" fontId="31" fillId="0" borderId="18" xfId="0" applyNumberFormat="1" applyFont="1" applyBorder="1"/>
    <xf numFmtId="0" fontId="39" fillId="0" borderId="0" xfId="0" applyFont="1" applyBorder="1" applyAlignment="1">
      <alignment horizontal="left"/>
    </xf>
    <xf numFmtId="4" fontId="79" fillId="9" borderId="17" xfId="0" applyNumberFormat="1" applyFont="1" applyFill="1" applyBorder="1"/>
    <xf numFmtId="4" fontId="79" fillId="9" borderId="26" xfId="0" applyNumberFormat="1" applyFont="1" applyFill="1" applyBorder="1"/>
    <xf numFmtId="0" fontId="81" fillId="9" borderId="81" xfId="0" applyFont="1" applyFill="1" applyBorder="1" applyAlignment="1">
      <alignment horizontal="left"/>
    </xf>
    <xf numFmtId="0" fontId="81" fillId="9" borderId="82" xfId="0" applyFont="1" applyFill="1" applyBorder="1" applyAlignment="1">
      <alignment horizontal="right"/>
    </xf>
    <xf numFmtId="44" fontId="81" fillId="9" borderId="83" xfId="4" applyFont="1" applyFill="1" applyBorder="1"/>
    <xf numFmtId="44" fontId="81" fillId="9" borderId="84" xfId="4" applyFont="1" applyFill="1" applyBorder="1"/>
    <xf numFmtId="4" fontId="62" fillId="0" borderId="0" xfId="0" applyNumberFormat="1" applyFont="1" applyBorder="1"/>
    <xf numFmtId="9" fontId="81" fillId="9" borderId="12" xfId="10" applyFont="1" applyFill="1" applyBorder="1" applyAlignment="1">
      <alignment horizontal="center"/>
    </xf>
    <xf numFmtId="0" fontId="63" fillId="0" borderId="0" xfId="0" applyFont="1"/>
    <xf numFmtId="0" fontId="29" fillId="0" borderId="26" xfId="0" applyFont="1" applyBorder="1"/>
    <xf numFmtId="9" fontId="31" fillId="2" borderId="12" xfId="10" applyFont="1" applyFill="1" applyBorder="1" applyAlignment="1">
      <alignment horizontal="center"/>
    </xf>
    <xf numFmtId="9" fontId="29" fillId="2" borderId="9" xfId="10" applyFont="1" applyFill="1" applyBorder="1" applyAlignment="1">
      <alignment horizontal="center"/>
    </xf>
    <xf numFmtId="9" fontId="31" fillId="2" borderId="10" xfId="10" applyFont="1" applyFill="1" applyBorder="1" applyAlignment="1">
      <alignment horizontal="center"/>
    </xf>
    <xf numFmtId="4" fontId="31" fillId="0" borderId="4" xfId="0" applyNumberFormat="1" applyFont="1" applyBorder="1"/>
    <xf numFmtId="9" fontId="29" fillId="2" borderId="10" xfId="10" applyFont="1" applyFill="1" applyBorder="1" applyAlignment="1">
      <alignment horizontal="center"/>
    </xf>
    <xf numFmtId="9" fontId="29" fillId="2" borderId="12" xfId="10" applyFont="1" applyFill="1" applyBorder="1" applyAlignment="1">
      <alignment horizontal="center"/>
    </xf>
    <xf numFmtId="4" fontId="29" fillId="0" borderId="19" xfId="0" applyNumberFormat="1" applyFont="1" applyBorder="1"/>
    <xf numFmtId="0" fontId="79" fillId="9" borderId="0" xfId="0" applyFont="1" applyFill="1" applyBorder="1" applyAlignment="1">
      <alignment horizontal="right"/>
    </xf>
    <xf numFmtId="9" fontId="79" fillId="9" borderId="12" xfId="10" applyFont="1" applyFill="1" applyBorder="1" applyAlignment="1">
      <alignment horizontal="center"/>
    </xf>
    <xf numFmtId="9" fontId="79" fillId="9" borderId="9" xfId="10" applyFont="1" applyFill="1" applyBorder="1" applyAlignment="1">
      <alignment horizontal="center"/>
    </xf>
    <xf numFmtId="9" fontId="79" fillId="9" borderId="10" xfId="10" applyFont="1" applyFill="1" applyBorder="1" applyAlignment="1">
      <alignment horizontal="center"/>
    </xf>
    <xf numFmtId="4" fontId="29" fillId="0" borderId="7" xfId="0" applyNumberFormat="1" applyFont="1" applyBorder="1"/>
    <xf numFmtId="0" fontId="29" fillId="0" borderId="6" xfId="0" applyFont="1" applyBorder="1" applyAlignment="1">
      <alignment horizontal="left"/>
    </xf>
    <xf numFmtId="0" fontId="79" fillId="9" borderId="1" xfId="0" applyFont="1" applyFill="1" applyBorder="1" applyAlignment="1">
      <alignment horizontal="right"/>
    </xf>
    <xf numFmtId="9" fontId="31" fillId="2" borderId="42" xfId="10" applyFont="1" applyFill="1" applyBorder="1" applyAlignment="1">
      <alignment horizontal="center"/>
    </xf>
    <xf numFmtId="9" fontId="29" fillId="2" borderId="85" xfId="10" applyFont="1" applyFill="1" applyBorder="1" applyAlignment="1">
      <alignment horizontal="center"/>
    </xf>
    <xf numFmtId="9" fontId="31" fillId="2" borderId="36" xfId="10" applyFont="1" applyFill="1" applyBorder="1" applyAlignment="1">
      <alignment horizontal="center"/>
    </xf>
    <xf numFmtId="44" fontId="81" fillId="9" borderId="3" xfId="4" applyFont="1" applyFill="1" applyBorder="1"/>
    <xf numFmtId="9" fontId="81" fillId="9" borderId="3" xfId="10" applyFont="1" applyFill="1" applyBorder="1" applyAlignment="1">
      <alignment horizontal="center"/>
    </xf>
    <xf numFmtId="4" fontId="29" fillId="0" borderId="0" xfId="0" applyNumberFormat="1" applyFont="1"/>
    <xf numFmtId="0" fontId="29" fillId="5" borderId="0" xfId="0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9" fontId="31" fillId="0" borderId="13" xfId="10" applyFont="1" applyBorder="1" applyAlignment="1">
      <alignment horizontal="center"/>
    </xf>
    <xf numFmtId="9" fontId="31" fillId="2" borderId="0" xfId="10" applyFont="1" applyFill="1" applyBorder="1" applyAlignment="1">
      <alignment horizontal="center"/>
    </xf>
    <xf numFmtId="0" fontId="29" fillId="0" borderId="0" xfId="0" quotePrefix="1" applyFont="1" applyBorder="1"/>
    <xf numFmtId="9" fontId="29" fillId="0" borderId="0" xfId="10" applyFont="1" applyBorder="1"/>
    <xf numFmtId="9" fontId="31" fillId="0" borderId="0" xfId="10" applyFont="1" applyBorder="1"/>
    <xf numFmtId="4" fontId="31" fillId="2" borderId="0" xfId="0" applyNumberFormat="1" applyFont="1" applyFill="1" applyBorder="1" applyAlignment="1">
      <alignment horizontal="center"/>
    </xf>
    <xf numFmtId="9" fontId="31" fillId="2" borderId="9" xfId="10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1" xfId="0" applyFont="1" applyBorder="1"/>
    <xf numFmtId="0" fontId="66" fillId="0" borderId="0" xfId="0" applyFont="1"/>
    <xf numFmtId="0" fontId="31" fillId="0" borderId="0" xfId="0" applyFont="1" applyAlignment="1">
      <alignment horizontal="center"/>
    </xf>
    <xf numFmtId="0" fontId="31" fillId="0" borderId="3" xfId="0" applyFont="1" applyBorder="1" applyAlignment="1">
      <alignment horizontal="center"/>
    </xf>
    <xf numFmtId="0" fontId="29" fillId="0" borderId="0" xfId="0" applyFont="1" applyAlignment="1">
      <alignment horizontal="center"/>
    </xf>
    <xf numFmtId="2" fontId="79" fillId="9" borderId="3" xfId="0" applyNumberFormat="1" applyFont="1" applyFill="1" applyBorder="1" applyAlignment="1">
      <alignment horizontal="center"/>
    </xf>
    <xf numFmtId="0" fontId="65" fillId="0" borderId="1" xfId="0" applyFont="1" applyBorder="1"/>
    <xf numFmtId="0" fontId="31" fillId="0" borderId="75" xfId="0" applyFont="1" applyBorder="1" applyAlignment="1">
      <alignment horizontal="center"/>
    </xf>
    <xf numFmtId="9" fontId="79" fillId="9" borderId="3" xfId="10" applyFont="1" applyFill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171" fontId="79" fillId="9" borderId="3" xfId="0" applyNumberFormat="1" applyFont="1" applyFill="1" applyBorder="1" applyAlignment="1">
      <alignment horizontal="center"/>
    </xf>
    <xf numFmtId="0" fontId="102" fillId="0" borderId="0" xfId="0" applyFont="1"/>
    <xf numFmtId="0" fontId="88" fillId="0" borderId="1" xfId="0" applyFont="1" applyBorder="1"/>
    <xf numFmtId="0" fontId="88" fillId="0" borderId="0" xfId="0" applyFont="1"/>
    <xf numFmtId="0" fontId="102" fillId="0" borderId="1" xfId="0" applyFont="1" applyBorder="1"/>
    <xf numFmtId="0" fontId="102" fillId="0" borderId="0" xfId="0" applyFont="1" applyBorder="1"/>
    <xf numFmtId="3" fontId="16" fillId="5" borderId="17" xfId="0" applyNumberFormat="1" applyFont="1" applyFill="1" applyBorder="1" applyAlignment="1">
      <alignment horizontal="center"/>
    </xf>
    <xf numFmtId="44" fontId="16" fillId="5" borderId="17" xfId="4" applyFont="1" applyFill="1" applyBorder="1"/>
    <xf numFmtId="44" fontId="16" fillId="5" borderId="17" xfId="4" applyFont="1" applyFill="1" applyBorder="1" applyAlignment="1">
      <alignment horizontal="center"/>
    </xf>
    <xf numFmtId="44" fontId="24" fillId="5" borderId="17" xfId="4" applyFont="1" applyFill="1" applyBorder="1" applyAlignment="1">
      <alignment horizontal="center"/>
    </xf>
    <xf numFmtId="9" fontId="25" fillId="5" borderId="17" xfId="10" applyFont="1" applyFill="1" applyBorder="1" applyAlignment="1">
      <alignment horizontal="center"/>
    </xf>
    <xf numFmtId="1" fontId="24" fillId="5" borderId="17" xfId="0" applyNumberFormat="1" applyFont="1" applyFill="1" applyBorder="1" applyAlignment="1">
      <alignment horizontal="center"/>
    </xf>
    <xf numFmtId="3" fontId="16" fillId="5" borderId="3" xfId="0" applyNumberFormat="1" applyFont="1" applyFill="1" applyBorder="1" applyAlignment="1">
      <alignment horizontal="center"/>
    </xf>
    <xf numFmtId="44" fontId="16" fillId="5" borderId="3" xfId="4" applyFont="1" applyFill="1" applyBorder="1"/>
    <xf numFmtId="44" fontId="16" fillId="5" borderId="3" xfId="4" applyFont="1" applyFill="1" applyBorder="1" applyAlignment="1">
      <alignment horizontal="center"/>
    </xf>
    <xf numFmtId="44" fontId="24" fillId="5" borderId="3" xfId="4" applyFont="1" applyFill="1" applyBorder="1" applyAlignment="1">
      <alignment horizontal="center"/>
    </xf>
    <xf numFmtId="9" fontId="25" fillId="5" borderId="3" xfId="10" applyFont="1" applyFill="1" applyBorder="1" applyAlignment="1">
      <alignment horizontal="center"/>
    </xf>
    <xf numFmtId="44" fontId="16" fillId="5" borderId="37" xfId="4" applyFont="1" applyFill="1" applyBorder="1"/>
    <xf numFmtId="44" fontId="16" fillId="5" borderId="37" xfId="4" applyFont="1" applyFill="1" applyBorder="1" applyAlignment="1">
      <alignment horizontal="center"/>
    </xf>
    <xf numFmtId="9" fontId="25" fillId="5" borderId="37" xfId="1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2" fontId="16" fillId="5" borderId="0" xfId="0" applyNumberFormat="1" applyFont="1" applyFill="1" applyBorder="1"/>
    <xf numFmtId="2" fontId="16" fillId="5" borderId="0" xfId="0" applyNumberFormat="1" applyFont="1" applyFill="1" applyBorder="1" applyAlignment="1">
      <alignment horizontal="center"/>
    </xf>
    <xf numFmtId="44" fontId="24" fillId="5" borderId="0" xfId="4" applyFont="1" applyFill="1" applyBorder="1" applyAlignment="1">
      <alignment horizontal="center"/>
    </xf>
    <xf numFmtId="9" fontId="25" fillId="5" borderId="0" xfId="10" applyFont="1" applyFill="1" applyBorder="1" applyAlignment="1">
      <alignment horizontal="center"/>
    </xf>
    <xf numFmtId="1" fontId="24" fillId="5" borderId="0" xfId="0" applyNumberFormat="1" applyFont="1" applyFill="1" applyBorder="1" applyAlignment="1">
      <alignment horizontal="center"/>
    </xf>
    <xf numFmtId="1" fontId="16" fillId="5" borderId="30" xfId="0" applyNumberFormat="1" applyFont="1" applyFill="1" applyBorder="1" applyAlignment="1">
      <alignment horizontal="center"/>
    </xf>
    <xf numFmtId="44" fontId="16" fillId="5" borderId="45" xfId="4" applyFont="1" applyFill="1" applyBorder="1" applyAlignment="1">
      <alignment horizontal="center"/>
    </xf>
    <xf numFmtId="44" fontId="16" fillId="5" borderId="54" xfId="4" applyFont="1" applyFill="1" applyBorder="1" applyAlignment="1">
      <alignment horizontal="center"/>
    </xf>
    <xf numFmtId="44" fontId="8" fillId="5" borderId="43" xfId="4" applyFont="1" applyFill="1" applyBorder="1" applyAlignment="1">
      <alignment horizontal="center"/>
    </xf>
    <xf numFmtId="44" fontId="8" fillId="5" borderId="75" xfId="4" applyFont="1" applyFill="1" applyBorder="1" applyAlignment="1">
      <alignment horizontal="center"/>
    </xf>
    <xf numFmtId="44" fontId="16" fillId="5" borderId="86" xfId="4" applyFont="1" applyFill="1" applyBorder="1" applyAlignment="1">
      <alignment horizontal="center"/>
    </xf>
    <xf numFmtId="44" fontId="16" fillId="5" borderId="8" xfId="4" applyFont="1" applyFill="1" applyBorder="1" applyAlignment="1">
      <alignment horizontal="center"/>
    </xf>
    <xf numFmtId="44" fontId="16" fillId="5" borderId="85" xfId="4" applyFont="1" applyFill="1" applyBorder="1" applyAlignment="1">
      <alignment horizontal="center"/>
    </xf>
    <xf numFmtId="44" fontId="8" fillId="5" borderId="14" xfId="4" applyFont="1" applyFill="1" applyBorder="1" applyAlignment="1">
      <alignment horizontal="center"/>
    </xf>
    <xf numFmtId="44" fontId="8" fillId="5" borderId="18" xfId="4" applyFont="1" applyFill="1" applyBorder="1" applyAlignment="1">
      <alignment horizontal="center"/>
    </xf>
    <xf numFmtId="44" fontId="8" fillId="5" borderId="19" xfId="4" applyFont="1" applyFill="1" applyBorder="1" applyAlignment="1">
      <alignment horizontal="center"/>
    </xf>
    <xf numFmtId="0" fontId="88" fillId="0" borderId="5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0" fontId="77" fillId="0" borderId="29" xfId="0" applyFont="1" applyBorder="1" applyAlignment="1">
      <alignment horizontal="center"/>
    </xf>
    <xf numFmtId="8" fontId="29" fillId="5" borderId="3" xfId="4" applyNumberFormat="1" applyFont="1" applyFill="1" applyBorder="1"/>
    <xf numFmtId="0" fontId="67" fillId="0" borderId="3" xfId="0" applyFont="1" applyBorder="1" applyAlignment="1">
      <alignment vertical="center"/>
    </xf>
    <xf numFmtId="44" fontId="67" fillId="0" borderId="3" xfId="4" applyFont="1" applyBorder="1" applyAlignment="1">
      <alignment vertical="center"/>
    </xf>
    <xf numFmtId="0" fontId="29" fillId="6" borderId="3" xfId="0" applyFont="1" applyFill="1" applyBorder="1" applyAlignment="1">
      <alignment horizontal="left"/>
    </xf>
    <xf numFmtId="44" fontId="29" fillId="6" borderId="3" xfId="4" applyFont="1" applyFill="1" applyBorder="1" applyAlignment="1">
      <alignment horizontal="right"/>
    </xf>
    <xf numFmtId="0" fontId="68" fillId="0" borderId="3" xfId="0" applyFont="1" applyBorder="1" applyAlignment="1">
      <alignment vertical="center"/>
    </xf>
    <xf numFmtId="0" fontId="68" fillId="0" borderId="3" xfId="0" applyFont="1" applyBorder="1" applyAlignment="1">
      <alignment horizontal="center" vertical="center"/>
    </xf>
    <xf numFmtId="44" fontId="68" fillId="0" borderId="3" xfId="4" applyFont="1" applyBorder="1" applyAlignment="1">
      <alignment horizontal="right" vertical="center"/>
    </xf>
    <xf numFmtId="166" fontId="16" fillId="5" borderId="26" xfId="0" applyNumberFormat="1" applyFont="1" applyFill="1" applyBorder="1" applyAlignment="1">
      <alignment horizontal="center"/>
    </xf>
    <xf numFmtId="0" fontId="69" fillId="0" borderId="0" xfId="0" applyFont="1" applyFill="1" applyBorder="1"/>
    <xf numFmtId="44" fontId="29" fillId="5" borderId="3" xfId="4" applyNumberFormat="1" applyFont="1" applyFill="1" applyBorder="1"/>
    <xf numFmtId="0" fontId="98" fillId="5" borderId="2" xfId="0" applyFont="1" applyFill="1" applyBorder="1" applyAlignment="1">
      <alignment horizontal="center" vertical="top" wrapText="1"/>
    </xf>
    <xf numFmtId="0" fontId="98" fillId="5" borderId="11" xfId="0" applyFont="1" applyFill="1" applyBorder="1" applyAlignment="1">
      <alignment horizontal="center" vertical="top" wrapText="1"/>
    </xf>
    <xf numFmtId="0" fontId="98" fillId="5" borderId="35" xfId="0" applyFont="1" applyFill="1" applyBorder="1" applyAlignment="1">
      <alignment horizontal="center" vertical="top" wrapText="1"/>
    </xf>
    <xf numFmtId="175" fontId="78" fillId="9" borderId="37" xfId="0" applyNumberFormat="1" applyFont="1" applyFill="1" applyBorder="1" applyAlignment="1">
      <alignment horizontal="center"/>
    </xf>
    <xf numFmtId="165" fontId="39" fillId="6" borderId="2" xfId="0" applyNumberFormat="1" applyFont="1" applyFill="1" applyBorder="1" applyAlignment="1">
      <alignment horizontal="center"/>
    </xf>
    <xf numFmtId="165" fontId="39" fillId="6" borderId="11" xfId="0" applyNumberFormat="1" applyFont="1" applyFill="1" applyBorder="1" applyAlignment="1">
      <alignment horizontal="center"/>
    </xf>
    <xf numFmtId="165" fontId="39" fillId="6" borderId="35" xfId="0" applyNumberFormat="1" applyFont="1" applyFill="1" applyBorder="1" applyAlignment="1">
      <alignment horizontal="center"/>
    </xf>
    <xf numFmtId="0" fontId="85" fillId="0" borderId="5" xfId="0" applyFont="1" applyFill="1" applyBorder="1" applyAlignment="1">
      <alignment horizontal="center" vertical="center"/>
    </xf>
    <xf numFmtId="0" fontId="85" fillId="0" borderId="28" xfId="0" applyFont="1" applyFill="1" applyBorder="1" applyAlignment="1">
      <alignment horizontal="center" vertical="center"/>
    </xf>
    <xf numFmtId="0" fontId="85" fillId="0" borderId="29" xfId="0" applyFont="1" applyFill="1" applyBorder="1" applyAlignment="1">
      <alignment horizontal="center" vertical="center"/>
    </xf>
    <xf numFmtId="0" fontId="85" fillId="0" borderId="6" xfId="0" applyFont="1" applyFill="1" applyBorder="1" applyAlignment="1">
      <alignment horizontal="center" vertical="center"/>
    </xf>
    <xf numFmtId="0" fontId="85" fillId="0" borderId="1" xfId="0" applyFont="1" applyFill="1" applyBorder="1" applyAlignment="1">
      <alignment horizontal="center" vertical="center"/>
    </xf>
    <xf numFmtId="0" fontId="85" fillId="0" borderId="20" xfId="0" applyFont="1" applyFill="1" applyBorder="1" applyAlignment="1">
      <alignment horizontal="center" vertical="center"/>
    </xf>
    <xf numFmtId="175" fontId="29" fillId="6" borderId="3" xfId="4" applyNumberFormat="1" applyFont="1" applyFill="1" applyBorder="1" applyAlignment="1">
      <alignment horizontal="center"/>
    </xf>
    <xf numFmtId="0" fontId="105" fillId="5" borderId="2" xfId="0" applyFont="1" applyFill="1" applyBorder="1" applyAlignment="1">
      <alignment horizontal="center" vertical="top" wrapText="1"/>
    </xf>
    <xf numFmtId="0" fontId="105" fillId="5" borderId="11" xfId="0" applyFont="1" applyFill="1" applyBorder="1" applyAlignment="1">
      <alignment horizontal="center" vertical="top" wrapText="1"/>
    </xf>
    <xf numFmtId="0" fontId="105" fillId="5" borderId="35" xfId="0" applyFont="1" applyFill="1" applyBorder="1" applyAlignment="1">
      <alignment horizontal="center" vertical="top" wrapText="1"/>
    </xf>
    <xf numFmtId="0" fontId="77" fillId="0" borderId="4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0" fontId="77" fillId="0" borderId="86" xfId="0" applyFont="1" applyBorder="1" applyAlignment="1">
      <alignment horizontal="right"/>
    </xf>
    <xf numFmtId="0" fontId="88" fillId="0" borderId="6" xfId="0" applyFont="1" applyFill="1" applyBorder="1" applyAlignment="1">
      <alignment horizontal="right"/>
    </xf>
    <xf numFmtId="0" fontId="88" fillId="0" borderId="1" xfId="0" applyFont="1" applyFill="1" applyBorder="1" applyAlignment="1">
      <alignment horizontal="right"/>
    </xf>
    <xf numFmtId="0" fontId="88" fillId="0" borderId="66" xfId="0" applyFont="1" applyFill="1" applyBorder="1" applyAlignment="1">
      <alignment horizontal="right"/>
    </xf>
    <xf numFmtId="0" fontId="80" fillId="9" borderId="2" xfId="0" applyFont="1" applyFill="1" applyBorder="1" applyAlignment="1">
      <alignment horizontal="center"/>
    </xf>
    <xf numFmtId="0" fontId="80" fillId="9" borderId="11" xfId="0" applyFont="1" applyFill="1" applyBorder="1" applyAlignment="1">
      <alignment horizontal="center"/>
    </xf>
    <xf numFmtId="0" fontId="80" fillId="9" borderId="35" xfId="0" applyFont="1" applyFill="1" applyBorder="1" applyAlignment="1">
      <alignment horizontal="center"/>
    </xf>
    <xf numFmtId="165" fontId="41" fillId="0" borderId="2" xfId="0" applyNumberFormat="1" applyFont="1" applyFill="1" applyBorder="1" applyAlignment="1">
      <alignment horizontal="center"/>
    </xf>
    <xf numFmtId="165" fontId="41" fillId="0" borderId="11" xfId="0" applyNumberFormat="1" applyFont="1" applyFill="1" applyBorder="1" applyAlignment="1">
      <alignment horizontal="center"/>
    </xf>
    <xf numFmtId="165" fontId="41" fillId="0" borderId="35" xfId="0" applyNumberFormat="1" applyFont="1" applyFill="1" applyBorder="1" applyAlignment="1">
      <alignment horizontal="center"/>
    </xf>
    <xf numFmtId="165" fontId="40" fillId="6" borderId="2" xfId="0" applyNumberFormat="1" applyFont="1" applyFill="1" applyBorder="1" applyAlignment="1">
      <alignment horizontal="center"/>
    </xf>
    <xf numFmtId="165" fontId="40" fillId="6" borderId="11" xfId="0" applyNumberFormat="1" applyFont="1" applyFill="1" applyBorder="1" applyAlignment="1">
      <alignment horizontal="center"/>
    </xf>
    <xf numFmtId="165" fontId="40" fillId="6" borderId="35" xfId="0" applyNumberFormat="1" applyFont="1" applyFill="1" applyBorder="1" applyAlignment="1">
      <alignment horizontal="center"/>
    </xf>
    <xf numFmtId="0" fontId="80" fillId="9" borderId="30" xfId="0" applyFont="1" applyFill="1" applyBorder="1" applyAlignment="1">
      <alignment horizontal="center" vertical="center" textRotation="90" wrapText="1"/>
    </xf>
    <xf numFmtId="0" fontId="80" fillId="9" borderId="27" xfId="0" applyFont="1" applyFill="1" applyBorder="1" applyAlignment="1">
      <alignment horizontal="center" vertical="center" textRotation="90" wrapText="1"/>
    </xf>
    <xf numFmtId="0" fontId="80" fillId="9" borderId="31" xfId="0" applyFont="1" applyFill="1" applyBorder="1" applyAlignment="1">
      <alignment horizontal="center" vertical="center" textRotation="90" wrapText="1"/>
    </xf>
    <xf numFmtId="0" fontId="107" fillId="5" borderId="2" xfId="0" applyFont="1" applyFill="1" applyBorder="1" applyAlignment="1">
      <alignment horizontal="center"/>
    </xf>
    <xf numFmtId="0" fontId="107" fillId="5" borderId="11" xfId="0" applyFont="1" applyFill="1" applyBorder="1" applyAlignment="1">
      <alignment horizontal="center"/>
    </xf>
    <xf numFmtId="0" fontId="107" fillId="5" borderId="35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right"/>
    </xf>
    <xf numFmtId="0" fontId="45" fillId="5" borderId="87" xfId="0" applyFont="1" applyFill="1" applyBorder="1" applyAlignment="1">
      <alignment horizontal="center" vertical="center" wrapText="1"/>
    </xf>
    <xf numFmtId="0" fontId="46" fillId="5" borderId="88" xfId="0" applyFont="1" applyFill="1" applyBorder="1" applyAlignment="1">
      <alignment horizontal="center" vertical="center" wrapText="1"/>
    </xf>
    <xf numFmtId="0" fontId="34" fillId="5" borderId="89" xfId="0" applyFont="1" applyFill="1" applyBorder="1" applyAlignment="1">
      <alignment horizontal="center" wrapText="1"/>
    </xf>
    <xf numFmtId="0" fontId="34" fillId="5" borderId="39" xfId="0" applyFont="1" applyFill="1" applyBorder="1" applyAlignment="1">
      <alignment horizontal="center" wrapText="1"/>
    </xf>
    <xf numFmtId="0" fontId="31" fillId="5" borderId="50" xfId="0" applyFont="1" applyFill="1" applyBorder="1" applyAlignment="1">
      <alignment horizontal="center" wrapText="1"/>
    </xf>
    <xf numFmtId="0" fontId="31" fillId="5" borderId="47" xfId="0" applyFont="1" applyFill="1" applyBorder="1" applyAlignment="1">
      <alignment horizontal="center" wrapText="1"/>
    </xf>
    <xf numFmtId="0" fontId="34" fillId="5" borderId="89" xfId="0" applyFont="1" applyFill="1" applyBorder="1" applyAlignment="1">
      <alignment horizontal="center"/>
    </xf>
    <xf numFmtId="0" fontId="34" fillId="5" borderId="39" xfId="0" applyFont="1" applyFill="1" applyBorder="1" applyAlignment="1">
      <alignment horizontal="center"/>
    </xf>
    <xf numFmtId="0" fontId="34" fillId="5" borderId="40" xfId="0" applyFont="1" applyFill="1" applyBorder="1" applyAlignment="1">
      <alignment horizontal="center"/>
    </xf>
    <xf numFmtId="0" fontId="34" fillId="5" borderId="54" xfId="0" applyFont="1" applyFill="1" applyBorder="1" applyAlignment="1">
      <alignment horizontal="center"/>
    </xf>
    <xf numFmtId="0" fontId="45" fillId="5" borderId="88" xfId="0" applyFont="1" applyFill="1" applyBorder="1" applyAlignment="1">
      <alignment horizontal="center" vertical="center" wrapText="1"/>
    </xf>
    <xf numFmtId="0" fontId="43" fillId="5" borderId="30" xfId="0" applyFont="1" applyFill="1" applyBorder="1" applyAlignment="1">
      <alignment horizontal="center" wrapText="1"/>
    </xf>
    <xf numFmtId="0" fontId="43" fillId="5" borderId="31" xfId="0" applyFont="1" applyFill="1" applyBorder="1" applyAlignment="1">
      <alignment horizontal="center" wrapText="1"/>
    </xf>
    <xf numFmtId="0" fontId="100" fillId="5" borderId="2" xfId="0" applyFont="1" applyFill="1" applyBorder="1" applyAlignment="1">
      <alignment horizontal="center"/>
    </xf>
    <xf numFmtId="0" fontId="100" fillId="5" borderId="11" xfId="0" applyFont="1" applyFill="1" applyBorder="1" applyAlignment="1">
      <alignment horizontal="center"/>
    </xf>
    <xf numFmtId="0" fontId="100" fillId="5" borderId="35" xfId="0" applyFont="1" applyFill="1" applyBorder="1" applyAlignment="1">
      <alignment horizontal="center"/>
    </xf>
    <xf numFmtId="0" fontId="45" fillId="5" borderId="29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31" fillId="5" borderId="30" xfId="0" applyFont="1" applyFill="1" applyBorder="1" applyAlignment="1">
      <alignment horizontal="center" wrapText="1"/>
    </xf>
    <xf numFmtId="0" fontId="31" fillId="5" borderId="31" xfId="0" applyFont="1" applyFill="1" applyBorder="1" applyAlignment="1">
      <alignment horizontal="center" wrapText="1"/>
    </xf>
    <xf numFmtId="0" fontId="45" fillId="5" borderId="58" xfId="0" applyFont="1" applyFill="1" applyBorder="1" applyAlignment="1">
      <alignment horizontal="center" vertical="center" wrapText="1"/>
    </xf>
    <xf numFmtId="0" fontId="46" fillId="5" borderId="59" xfId="0" applyFont="1" applyFill="1" applyBorder="1" applyAlignment="1">
      <alignment horizontal="center" vertical="center" wrapText="1"/>
    </xf>
    <xf numFmtId="0" fontId="99" fillId="5" borderId="2" xfId="0" applyFont="1" applyFill="1" applyBorder="1" applyAlignment="1">
      <alignment horizontal="center"/>
    </xf>
    <xf numFmtId="0" fontId="99" fillId="5" borderId="11" xfId="0" applyFont="1" applyFill="1" applyBorder="1" applyAlignment="1">
      <alignment horizontal="center"/>
    </xf>
    <xf numFmtId="0" fontId="99" fillId="5" borderId="35" xfId="0" applyFont="1" applyFill="1" applyBorder="1" applyAlignment="1">
      <alignment horizontal="center"/>
    </xf>
    <xf numFmtId="0" fontId="43" fillId="5" borderId="5" xfId="0" applyFont="1" applyFill="1" applyBorder="1" applyAlignment="1">
      <alignment horizontal="center" wrapText="1"/>
    </xf>
    <xf numFmtId="0" fontId="43" fillId="5" borderId="6" xfId="0" applyFont="1" applyFill="1" applyBorder="1" applyAlignment="1">
      <alignment horizontal="center" wrapText="1"/>
    </xf>
    <xf numFmtId="0" fontId="45" fillId="5" borderId="90" xfId="0" applyFont="1" applyFill="1" applyBorder="1" applyAlignment="1">
      <alignment horizontal="center" vertical="center" wrapText="1"/>
    </xf>
    <xf numFmtId="0" fontId="45" fillId="5" borderId="91" xfId="0" applyFont="1" applyFill="1" applyBorder="1" applyAlignment="1">
      <alignment horizontal="center" vertical="center" wrapText="1"/>
    </xf>
    <xf numFmtId="0" fontId="45" fillId="5" borderId="92" xfId="0" applyFont="1" applyFill="1" applyBorder="1" applyAlignment="1">
      <alignment horizontal="center" vertical="center" wrapText="1"/>
    </xf>
    <xf numFmtId="0" fontId="45" fillId="5" borderId="93" xfId="0" applyFont="1" applyFill="1" applyBorder="1" applyAlignment="1">
      <alignment horizontal="center" vertical="center" wrapText="1"/>
    </xf>
    <xf numFmtId="0" fontId="108" fillId="5" borderId="0" xfId="0" applyFont="1" applyFill="1" applyBorder="1" applyAlignment="1">
      <alignment horizontal="center"/>
    </xf>
    <xf numFmtId="0" fontId="34" fillId="5" borderId="40" xfId="0" applyFont="1" applyFill="1" applyBorder="1" applyAlignment="1">
      <alignment horizontal="center" wrapText="1"/>
    </xf>
    <xf numFmtId="0" fontId="34" fillId="5" borderId="54" xfId="0" applyFont="1" applyFill="1" applyBorder="1" applyAlignment="1">
      <alignment horizontal="center" wrapText="1"/>
    </xf>
    <xf numFmtId="0" fontId="35" fillId="5" borderId="2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5" borderId="35" xfId="0" applyFont="1" applyFill="1" applyBorder="1" applyAlignment="1">
      <alignment horizontal="center"/>
    </xf>
    <xf numFmtId="0" fontId="47" fillId="0" borderId="0" xfId="0" applyFont="1" applyFill="1" applyAlignment="1">
      <alignment horizontal="center" wrapText="1"/>
    </xf>
    <xf numFmtId="165" fontId="40" fillId="0" borderId="0" xfId="0" applyNumberFormat="1" applyFont="1" applyFill="1" applyBorder="1" applyAlignment="1">
      <alignment horizontal="center"/>
    </xf>
    <xf numFmtId="0" fontId="109" fillId="5" borderId="0" xfId="0" applyFont="1" applyFill="1" applyBorder="1" applyAlignment="1">
      <alignment horizontal="center" vertical="top" wrapText="1"/>
    </xf>
    <xf numFmtId="0" fontId="110" fillId="0" borderId="0" xfId="0" applyFont="1" applyFill="1" applyAlignment="1">
      <alignment horizontal="center"/>
    </xf>
    <xf numFmtId="0" fontId="31" fillId="5" borderId="5" xfId="0" applyFont="1" applyFill="1" applyBorder="1" applyAlignment="1">
      <alignment horizontal="center" vertical="center"/>
    </xf>
    <xf numFmtId="0" fontId="31" fillId="5" borderId="28" xfId="0" applyFont="1" applyFill="1" applyBorder="1" applyAlignment="1">
      <alignment horizontal="center" vertical="center"/>
    </xf>
    <xf numFmtId="0" fontId="31" fillId="5" borderId="29" xfId="0" applyFont="1" applyFill="1" applyBorder="1" applyAlignment="1">
      <alignment horizontal="center" vertical="center"/>
    </xf>
    <xf numFmtId="0" fontId="31" fillId="5" borderId="6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/>
    </xf>
    <xf numFmtId="0" fontId="103" fillId="5" borderId="2" xfId="0" applyFont="1" applyFill="1" applyBorder="1" applyAlignment="1">
      <alignment horizontal="center"/>
    </xf>
    <xf numFmtId="0" fontId="103" fillId="5" borderId="11" xfId="0" applyFont="1" applyFill="1" applyBorder="1" applyAlignment="1">
      <alignment horizontal="center"/>
    </xf>
    <xf numFmtId="0" fontId="103" fillId="5" borderId="35" xfId="0" applyFont="1" applyFill="1" applyBorder="1" applyAlignment="1">
      <alignment horizontal="center"/>
    </xf>
    <xf numFmtId="0" fontId="29" fillId="5" borderId="0" xfId="0" applyFont="1" applyFill="1" applyAlignment="1">
      <alignment horizontal="left"/>
    </xf>
    <xf numFmtId="0" fontId="45" fillId="6" borderId="64" xfId="0" applyFont="1" applyFill="1" applyBorder="1" applyAlignment="1">
      <alignment horizontal="center" vertical="center" wrapText="1"/>
    </xf>
    <xf numFmtId="0" fontId="45" fillId="6" borderId="65" xfId="0" applyFont="1" applyFill="1" applyBorder="1" applyAlignment="1">
      <alignment horizontal="center" vertical="center" wrapText="1"/>
    </xf>
    <xf numFmtId="0" fontId="45" fillId="5" borderId="64" xfId="0" applyFont="1" applyFill="1" applyBorder="1" applyAlignment="1">
      <alignment horizontal="center" vertical="center" wrapText="1"/>
    </xf>
    <xf numFmtId="0" fontId="45" fillId="5" borderId="65" xfId="0" applyFont="1" applyFill="1" applyBorder="1" applyAlignment="1">
      <alignment horizontal="center" vertical="center" wrapText="1"/>
    </xf>
    <xf numFmtId="0" fontId="45" fillId="5" borderId="94" xfId="0" applyFont="1" applyFill="1" applyBorder="1" applyAlignment="1">
      <alignment horizontal="center" vertical="center" wrapText="1"/>
    </xf>
    <xf numFmtId="0" fontId="45" fillId="5" borderId="95" xfId="0" applyFont="1" applyFill="1" applyBorder="1" applyAlignment="1">
      <alignment horizontal="center" vertical="center" wrapText="1"/>
    </xf>
    <xf numFmtId="0" fontId="46" fillId="6" borderId="65" xfId="0" applyFont="1" applyFill="1" applyBorder="1" applyAlignment="1">
      <alignment horizontal="center" vertical="center" wrapText="1"/>
    </xf>
    <xf numFmtId="0" fontId="46" fillId="5" borderId="65" xfId="0" applyFont="1" applyFill="1" applyBorder="1" applyAlignment="1">
      <alignment horizontal="center" vertical="center" wrapText="1"/>
    </xf>
    <xf numFmtId="0" fontId="43" fillId="18" borderId="2" xfId="0" applyFont="1" applyFill="1" applyBorder="1" applyAlignment="1">
      <alignment horizontal="center"/>
    </xf>
    <xf numFmtId="0" fontId="43" fillId="18" borderId="11" xfId="0" applyFont="1" applyFill="1" applyBorder="1" applyAlignment="1">
      <alignment horizontal="center"/>
    </xf>
    <xf numFmtId="0" fontId="43" fillId="18" borderId="35" xfId="0" applyFont="1" applyFill="1" applyBorder="1" applyAlignment="1">
      <alignment horizontal="center"/>
    </xf>
    <xf numFmtId="0" fontId="45" fillId="18" borderId="64" xfId="0" applyFont="1" applyFill="1" applyBorder="1" applyAlignment="1">
      <alignment horizontal="center" vertical="center" wrapText="1"/>
    </xf>
    <xf numFmtId="0" fontId="45" fillId="18" borderId="65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6" fillId="18" borderId="65" xfId="0" applyFont="1" applyFill="1" applyBorder="1" applyAlignment="1">
      <alignment horizontal="center" vertical="center" wrapText="1"/>
    </xf>
    <xf numFmtId="0" fontId="46" fillId="4" borderId="65" xfId="0" applyFont="1" applyFill="1" applyBorder="1" applyAlignment="1">
      <alignment horizontal="center" vertical="center" wrapText="1"/>
    </xf>
    <xf numFmtId="0" fontId="34" fillId="5" borderId="51" xfId="0" applyFont="1" applyFill="1" applyBorder="1" applyAlignment="1">
      <alignment horizontal="center"/>
    </xf>
    <xf numFmtId="0" fontId="34" fillId="5" borderId="45" xfId="0" applyFont="1" applyFill="1" applyBorder="1" applyAlignment="1">
      <alignment horizontal="center"/>
    </xf>
    <xf numFmtId="0" fontId="34" fillId="5" borderId="0" xfId="0" applyFont="1" applyFill="1" applyAlignment="1">
      <alignment horizontal="left"/>
    </xf>
    <xf numFmtId="0" fontId="45" fillId="5" borderId="5" xfId="0" applyFont="1" applyFill="1" applyBorder="1" applyAlignment="1">
      <alignment horizontal="center" vertical="center" wrapText="1"/>
    </xf>
    <xf numFmtId="0" fontId="45" fillId="5" borderId="96" xfId="0" applyFont="1" applyFill="1" applyBorder="1" applyAlignment="1">
      <alignment horizontal="center" vertical="center" wrapText="1"/>
    </xf>
    <xf numFmtId="0" fontId="45" fillId="5" borderId="72" xfId="0" applyFont="1" applyFill="1" applyBorder="1" applyAlignment="1">
      <alignment horizontal="center" vertical="center" wrapText="1"/>
    </xf>
    <xf numFmtId="0" fontId="45" fillId="5" borderId="97" xfId="0" applyFont="1" applyFill="1" applyBorder="1" applyAlignment="1">
      <alignment horizontal="center" vertical="center" wrapText="1"/>
    </xf>
    <xf numFmtId="0" fontId="88" fillId="5" borderId="2" xfId="0" applyFont="1" applyFill="1" applyBorder="1" applyAlignment="1">
      <alignment horizontal="center"/>
    </xf>
    <xf numFmtId="0" fontId="88" fillId="5" borderId="11" xfId="0" applyFont="1" applyFill="1" applyBorder="1" applyAlignment="1">
      <alignment horizontal="center"/>
    </xf>
    <xf numFmtId="0" fontId="88" fillId="5" borderId="35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center"/>
    </xf>
    <xf numFmtId="0" fontId="31" fillId="5" borderId="28" xfId="0" applyFont="1" applyFill="1" applyBorder="1" applyAlignment="1">
      <alignment horizontal="center"/>
    </xf>
    <xf numFmtId="0" fontId="31" fillId="5" borderId="29" xfId="0" applyFont="1" applyFill="1" applyBorder="1" applyAlignment="1">
      <alignment horizontal="center"/>
    </xf>
    <xf numFmtId="0" fontId="31" fillId="5" borderId="4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104" fillId="5" borderId="2" xfId="0" applyFont="1" applyFill="1" applyBorder="1" applyAlignment="1">
      <alignment horizontal="center"/>
    </xf>
    <xf numFmtId="0" fontId="104" fillId="5" borderId="11" xfId="0" applyFont="1" applyFill="1" applyBorder="1" applyAlignment="1">
      <alignment horizontal="center"/>
    </xf>
    <xf numFmtId="0" fontId="104" fillId="5" borderId="35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88" fillId="5" borderId="5" xfId="0" applyFont="1" applyFill="1" applyBorder="1" applyAlignment="1">
      <alignment horizontal="center" vertical="center" wrapText="1"/>
    </xf>
    <xf numFmtId="0" fontId="88" fillId="5" borderId="28" xfId="0" applyFont="1" applyFill="1" applyBorder="1" applyAlignment="1">
      <alignment horizontal="center" vertical="center" wrapText="1"/>
    </xf>
    <xf numFmtId="0" fontId="88" fillId="5" borderId="29" xfId="0" applyFont="1" applyFill="1" applyBorder="1" applyAlignment="1">
      <alignment horizontal="center" vertical="center" wrapText="1"/>
    </xf>
    <xf numFmtId="0" fontId="88" fillId="5" borderId="6" xfId="0" applyFont="1" applyFill="1" applyBorder="1" applyAlignment="1">
      <alignment horizontal="center" vertical="center" wrapText="1"/>
    </xf>
    <xf numFmtId="0" fontId="88" fillId="5" borderId="1" xfId="0" applyFont="1" applyFill="1" applyBorder="1" applyAlignment="1">
      <alignment horizontal="center" vertical="center" wrapText="1"/>
    </xf>
    <xf numFmtId="0" fontId="88" fillId="5" borderId="20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center" vertical="center" wrapText="1"/>
    </xf>
    <xf numFmtId="0" fontId="102" fillId="5" borderId="5" xfId="0" applyFont="1" applyFill="1" applyBorder="1" applyAlignment="1">
      <alignment horizontal="center"/>
    </xf>
    <xf numFmtId="0" fontId="102" fillId="5" borderId="28" xfId="0" applyFont="1" applyFill="1" applyBorder="1" applyAlignment="1">
      <alignment horizontal="center"/>
    </xf>
    <xf numFmtId="0" fontId="102" fillId="5" borderId="11" xfId="0" applyFont="1" applyFill="1" applyBorder="1" applyAlignment="1">
      <alignment horizontal="center"/>
    </xf>
    <xf numFmtId="0" fontId="102" fillId="5" borderId="35" xfId="0" applyFont="1" applyFill="1" applyBorder="1" applyAlignment="1">
      <alignment horizontal="center"/>
    </xf>
    <xf numFmtId="0" fontId="31" fillId="5" borderId="25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center" vertical="center" wrapText="1"/>
    </xf>
    <xf numFmtId="0" fontId="88" fillId="5" borderId="4" xfId="0" applyFont="1" applyFill="1" applyBorder="1" applyAlignment="1">
      <alignment horizontal="center"/>
    </xf>
    <xf numFmtId="0" fontId="88" fillId="5" borderId="0" xfId="0" applyFont="1" applyFill="1" applyBorder="1" applyAlignment="1">
      <alignment horizontal="center"/>
    </xf>
    <xf numFmtId="0" fontId="111" fillId="5" borderId="55" xfId="0" applyFont="1" applyFill="1" applyBorder="1" applyAlignment="1">
      <alignment horizontal="center"/>
    </xf>
    <xf numFmtId="0" fontId="111" fillId="5" borderId="98" xfId="0" applyFont="1" applyFill="1" applyBorder="1" applyAlignment="1">
      <alignment horizontal="center"/>
    </xf>
    <xf numFmtId="0" fontId="111" fillId="5" borderId="56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12" fillId="5" borderId="5" xfId="0" applyFont="1" applyFill="1" applyBorder="1" applyAlignment="1">
      <alignment horizontal="center"/>
    </xf>
    <xf numFmtId="0" fontId="112" fillId="5" borderId="28" xfId="0" applyFont="1" applyFill="1" applyBorder="1" applyAlignment="1">
      <alignment horizontal="center"/>
    </xf>
    <xf numFmtId="0" fontId="112" fillId="5" borderId="29" xfId="0" applyFont="1" applyFill="1" applyBorder="1" applyAlignment="1">
      <alignment horizontal="center"/>
    </xf>
    <xf numFmtId="0" fontId="113" fillId="5" borderId="90" xfId="0" applyFont="1" applyFill="1" applyBorder="1" applyAlignment="1">
      <alignment horizontal="center" vertical="center" wrapText="1"/>
    </xf>
    <xf numFmtId="0" fontId="114" fillId="5" borderId="99" xfId="0" applyFont="1" applyFill="1" applyBorder="1" applyAlignment="1">
      <alignment horizontal="center" vertical="center" wrapText="1"/>
    </xf>
    <xf numFmtId="0" fontId="113" fillId="5" borderId="87" xfId="0" applyFont="1" applyFill="1" applyBorder="1" applyAlignment="1">
      <alignment horizontal="center" vertical="center" wrapText="1"/>
    </xf>
    <xf numFmtId="0" fontId="114" fillId="5" borderId="65" xfId="0" applyFont="1" applyFill="1" applyBorder="1" applyAlignment="1">
      <alignment horizontal="center" vertical="center" wrapText="1"/>
    </xf>
    <xf numFmtId="0" fontId="113" fillId="5" borderId="58" xfId="0" applyFont="1" applyFill="1" applyBorder="1" applyAlignment="1">
      <alignment horizontal="center" vertical="center" wrapText="1"/>
    </xf>
    <xf numFmtId="0" fontId="114" fillId="5" borderId="102" xfId="0" applyFont="1" applyFill="1" applyBorder="1" applyAlignment="1">
      <alignment horizontal="center" vertical="center" wrapText="1"/>
    </xf>
    <xf numFmtId="0" fontId="113" fillId="5" borderId="100" xfId="0" applyFont="1" applyFill="1" applyBorder="1" applyAlignment="1">
      <alignment horizontal="center" vertical="center" wrapText="1"/>
    </xf>
    <xf numFmtId="0" fontId="113" fillId="5" borderId="101" xfId="0" applyFont="1" applyFill="1" applyBorder="1" applyAlignment="1">
      <alignment horizontal="center" vertical="center" wrapText="1"/>
    </xf>
    <xf numFmtId="0" fontId="113" fillId="5" borderId="64" xfId="0" applyFont="1" applyFill="1" applyBorder="1" applyAlignment="1">
      <alignment horizontal="center" vertical="center" wrapText="1"/>
    </xf>
    <xf numFmtId="4" fontId="94" fillId="5" borderId="2" xfId="0" applyNumberFormat="1" applyFont="1" applyFill="1" applyBorder="1" applyAlignment="1">
      <alignment horizontal="center"/>
    </xf>
    <xf numFmtId="4" fontId="94" fillId="5" borderId="28" xfId="0" applyNumberFormat="1" applyFont="1" applyFill="1" applyBorder="1" applyAlignment="1">
      <alignment horizontal="center"/>
    </xf>
    <xf numFmtId="4" fontId="94" fillId="5" borderId="29" xfId="0" applyNumberFormat="1" applyFont="1" applyFill="1" applyBorder="1" applyAlignment="1">
      <alignment horizontal="center"/>
    </xf>
    <xf numFmtId="4" fontId="94" fillId="5" borderId="3" xfId="0" applyNumberFormat="1" applyFont="1" applyFill="1" applyBorder="1" applyAlignment="1">
      <alignment horizontal="center"/>
    </xf>
    <xf numFmtId="4" fontId="94" fillId="5" borderId="18" xfId="0" applyNumberFormat="1" applyFont="1" applyFill="1" applyBorder="1" applyAlignment="1">
      <alignment horizontal="center"/>
    </xf>
    <xf numFmtId="0" fontId="94" fillId="5" borderId="3" xfId="0" applyFont="1" applyFill="1" applyBorder="1" applyAlignment="1">
      <alignment horizontal="center"/>
    </xf>
    <xf numFmtId="0" fontId="94" fillId="5" borderId="1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88" fillId="5" borderId="24" xfId="0" applyFont="1" applyFill="1" applyBorder="1" applyAlignment="1">
      <alignment horizontal="center" vertical="center"/>
    </xf>
    <xf numFmtId="0" fontId="77" fillId="5" borderId="24" xfId="0" applyFont="1" applyFill="1" applyBorder="1" applyAlignment="1">
      <alignment horizontal="center" vertical="center"/>
    </xf>
    <xf numFmtId="0" fontId="31" fillId="5" borderId="25" xfId="0" applyFont="1" applyFill="1" applyBorder="1" applyAlignment="1">
      <alignment horizontal="center"/>
    </xf>
    <xf numFmtId="0" fontId="31" fillId="5" borderId="17" xfId="0" applyFont="1" applyFill="1" applyBorder="1" applyAlignment="1">
      <alignment horizontal="center"/>
    </xf>
    <xf numFmtId="0" fontId="31" fillId="5" borderId="26" xfId="0" applyFont="1" applyFill="1" applyBorder="1" applyAlignment="1">
      <alignment horizontal="center"/>
    </xf>
    <xf numFmtId="0" fontId="88" fillId="5" borderId="3" xfId="0" applyFont="1" applyFill="1" applyBorder="1" applyAlignment="1">
      <alignment horizontal="center" vertical="center"/>
    </xf>
    <xf numFmtId="0" fontId="77" fillId="5" borderId="3" xfId="0" applyFont="1" applyFill="1" applyBorder="1" applyAlignment="1">
      <alignment horizontal="center" vertical="center"/>
    </xf>
    <xf numFmtId="0" fontId="88" fillId="5" borderId="18" xfId="0" applyFont="1" applyFill="1" applyBorder="1" applyAlignment="1">
      <alignment horizontal="center" vertical="center"/>
    </xf>
    <xf numFmtId="0" fontId="77" fillId="5" borderId="18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justify"/>
    </xf>
    <xf numFmtId="0" fontId="110" fillId="0" borderId="3" xfId="0" applyFont="1" applyFill="1" applyBorder="1" applyAlignment="1">
      <alignment horizontal="center" vertical="justify"/>
    </xf>
    <xf numFmtId="0" fontId="31" fillId="0" borderId="0" xfId="0" applyFont="1" applyAlignment="1">
      <alignment horizontal="center" vertical="center"/>
    </xf>
    <xf numFmtId="0" fontId="35" fillId="0" borderId="8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104" fillId="5" borderId="21" xfId="0" applyFont="1" applyFill="1" applyBorder="1" applyAlignment="1">
      <alignment horizontal="center" vertical="justify"/>
    </xf>
    <xf numFmtId="0" fontId="104" fillId="5" borderId="22" xfId="0" applyFont="1" applyFill="1" applyBorder="1" applyAlignment="1">
      <alignment horizontal="center" vertical="justify"/>
    </xf>
    <xf numFmtId="4" fontId="102" fillId="5" borderId="0" xfId="0" applyNumberFormat="1" applyFont="1" applyFill="1" applyBorder="1" applyAlignment="1">
      <alignment horizontal="center"/>
    </xf>
    <xf numFmtId="165" fontId="115" fillId="5" borderId="1" xfId="0" applyNumberFormat="1" applyFont="1" applyFill="1" applyBorder="1" applyAlignment="1">
      <alignment horizontal="center"/>
    </xf>
    <xf numFmtId="0" fontId="29" fillId="5" borderId="0" xfId="0" applyFont="1" applyFill="1" applyBorder="1" applyAlignment="1">
      <alignment horizontal="center"/>
    </xf>
    <xf numFmtId="4" fontId="31" fillId="2" borderId="0" xfId="0" applyNumberFormat="1" applyFont="1" applyFill="1" applyBorder="1" applyAlignment="1">
      <alignment horizontal="center"/>
    </xf>
    <xf numFmtId="0" fontId="78" fillId="9" borderId="0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left"/>
    </xf>
    <xf numFmtId="0" fontId="31" fillId="2" borderId="1" xfId="0" applyFont="1" applyFill="1" applyBorder="1" applyAlignment="1">
      <alignment horizontal="left"/>
    </xf>
    <xf numFmtId="0" fontId="31" fillId="2" borderId="2" xfId="0" applyFont="1" applyFill="1" applyBorder="1" applyAlignment="1">
      <alignment horizontal="left"/>
    </xf>
    <xf numFmtId="0" fontId="31" fillId="2" borderId="11" xfId="0" applyFont="1" applyFill="1" applyBorder="1" applyAlignment="1">
      <alignment horizontal="left"/>
    </xf>
    <xf numFmtId="0" fontId="81" fillId="9" borderId="3" xfId="0" applyFont="1" applyFill="1" applyBorder="1" applyAlignment="1">
      <alignment horizontal="center"/>
    </xf>
    <xf numFmtId="0" fontId="104" fillId="5" borderId="5" xfId="0" applyFont="1" applyFill="1" applyBorder="1" applyAlignment="1">
      <alignment horizontal="center"/>
    </xf>
    <xf numFmtId="0" fontId="104" fillId="5" borderId="28" xfId="0" applyFont="1" applyFill="1" applyBorder="1" applyAlignment="1">
      <alignment horizontal="center"/>
    </xf>
    <xf numFmtId="0" fontId="104" fillId="5" borderId="29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1" fillId="5" borderId="43" xfId="0" applyFont="1" applyFill="1" applyBorder="1" applyAlignment="1">
      <alignment horizontal="center"/>
    </xf>
    <xf numFmtId="0" fontId="91" fillId="5" borderId="68" xfId="0" applyFont="1" applyFill="1" applyBorder="1" applyAlignment="1">
      <alignment horizontal="center"/>
    </xf>
    <xf numFmtId="0" fontId="91" fillId="5" borderId="45" xfId="0" applyFont="1" applyFill="1" applyBorder="1" applyAlignment="1">
      <alignment horizontal="center"/>
    </xf>
    <xf numFmtId="0" fontId="91" fillId="5" borderId="14" xfId="0" applyFont="1" applyFill="1" applyBorder="1" applyAlignment="1">
      <alignment horizontal="center"/>
    </xf>
    <xf numFmtId="0" fontId="91" fillId="5" borderId="15" xfId="0" applyFont="1" applyFill="1" applyBorder="1" applyAlignment="1">
      <alignment horizontal="center"/>
    </xf>
    <xf numFmtId="0" fontId="91" fillId="5" borderId="1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1" fillId="5" borderId="75" xfId="0" applyFont="1" applyFill="1" applyBorder="1" applyAlignment="1">
      <alignment horizontal="left"/>
    </xf>
    <xf numFmtId="0" fontId="91" fillId="5" borderId="57" xfId="0" applyFont="1" applyFill="1" applyBorder="1" applyAlignment="1">
      <alignment horizontal="left"/>
    </xf>
    <xf numFmtId="0" fontId="8" fillId="0" borderId="75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16" fillId="0" borderId="75" xfId="0" applyFont="1" applyBorder="1" applyAlignment="1">
      <alignment horizontal="left"/>
    </xf>
    <xf numFmtId="0" fontId="16" fillId="0" borderId="57" xfId="0" applyFont="1" applyBorder="1" applyAlignment="1">
      <alignment horizontal="left"/>
    </xf>
    <xf numFmtId="0" fontId="8" fillId="0" borderId="75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0" fontId="116" fillId="5" borderId="5" xfId="0" applyFont="1" applyFill="1" applyBorder="1" applyAlignment="1">
      <alignment horizontal="center"/>
    </xf>
    <xf numFmtId="0" fontId="116" fillId="5" borderId="28" xfId="0" applyFont="1" applyFill="1" applyBorder="1" applyAlignment="1">
      <alignment horizontal="center"/>
    </xf>
    <xf numFmtId="0" fontId="116" fillId="5" borderId="29" xfId="0" applyFont="1" applyFill="1" applyBorder="1" applyAlignment="1">
      <alignment horizontal="center"/>
    </xf>
    <xf numFmtId="0" fontId="116" fillId="5" borderId="4" xfId="0" applyFont="1" applyFill="1" applyBorder="1" applyAlignment="1">
      <alignment horizontal="center"/>
    </xf>
    <xf numFmtId="0" fontId="116" fillId="5" borderId="0" xfId="0" applyFont="1" applyFill="1" applyBorder="1" applyAlignment="1">
      <alignment horizontal="center"/>
    </xf>
    <xf numFmtId="0" fontId="116" fillId="5" borderId="7" xfId="0" applyFont="1" applyFill="1" applyBorder="1" applyAlignment="1">
      <alignment horizontal="center"/>
    </xf>
    <xf numFmtId="0" fontId="117" fillId="5" borderId="5" xfId="0" applyFont="1" applyFill="1" applyBorder="1" applyAlignment="1">
      <alignment horizontal="center"/>
    </xf>
    <xf numFmtId="0" fontId="117" fillId="5" borderId="28" xfId="0" applyFont="1" applyFill="1" applyBorder="1" applyAlignment="1">
      <alignment horizontal="center"/>
    </xf>
    <xf numFmtId="0" fontId="117" fillId="5" borderId="29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 wrapText="1"/>
    </xf>
    <xf numFmtId="0" fontId="18" fillId="2" borderId="28" xfId="0" applyFont="1" applyFill="1" applyBorder="1" applyAlignment="1">
      <alignment horizont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89" fillId="5" borderId="5" xfId="0" applyFont="1" applyFill="1" applyBorder="1" applyAlignment="1">
      <alignment horizontal="center"/>
    </xf>
    <xf numFmtId="0" fontId="89" fillId="5" borderId="28" xfId="0" applyFont="1" applyFill="1" applyBorder="1" applyAlignment="1">
      <alignment horizontal="center"/>
    </xf>
    <xf numFmtId="0" fontId="89" fillId="5" borderId="29" xfId="0" applyFont="1" applyFill="1" applyBorder="1" applyAlignment="1">
      <alignment horizontal="center"/>
    </xf>
    <xf numFmtId="0" fontId="89" fillId="5" borderId="75" xfId="0" applyFont="1" applyFill="1" applyBorder="1" applyAlignment="1">
      <alignment horizontal="left"/>
    </xf>
    <xf numFmtId="0" fontId="89" fillId="5" borderId="57" xfId="0" applyFont="1" applyFill="1" applyBorder="1" applyAlignment="1">
      <alignment horizontal="left"/>
    </xf>
    <xf numFmtId="0" fontId="118" fillId="5" borderId="2" xfId="0" applyFont="1" applyFill="1" applyBorder="1" applyAlignment="1">
      <alignment horizontal="center"/>
    </xf>
    <xf numFmtId="0" fontId="118" fillId="5" borderId="11" xfId="0" applyFont="1" applyFill="1" applyBorder="1" applyAlignment="1">
      <alignment horizontal="center"/>
    </xf>
    <xf numFmtId="0" fontId="118" fillId="5" borderId="35" xfId="0" applyFont="1" applyFill="1" applyBorder="1" applyAlignment="1">
      <alignment horizontal="center"/>
    </xf>
    <xf numFmtId="0" fontId="94" fillId="5" borderId="64" xfId="0" applyFont="1" applyFill="1" applyBorder="1" applyAlignment="1">
      <alignment horizontal="center" vertical="center"/>
    </xf>
    <xf numFmtId="0" fontId="94" fillId="5" borderId="74" xfId="0" applyFont="1" applyFill="1" applyBorder="1" applyAlignment="1">
      <alignment horizontal="center" vertical="center"/>
    </xf>
    <xf numFmtId="0" fontId="94" fillId="5" borderId="64" xfId="0" applyFont="1" applyFill="1" applyBorder="1" applyAlignment="1">
      <alignment horizontal="center" vertical="center" wrapText="1"/>
    </xf>
    <xf numFmtId="0" fontId="94" fillId="5" borderId="74" xfId="0" applyFont="1" applyFill="1" applyBorder="1" applyAlignment="1">
      <alignment horizontal="center" vertical="center" wrapText="1"/>
    </xf>
    <xf numFmtId="0" fontId="112" fillId="5" borderId="40" xfId="0" quotePrefix="1" applyFont="1" applyFill="1" applyBorder="1" applyAlignment="1">
      <alignment horizontal="center"/>
    </xf>
    <xf numFmtId="0" fontId="112" fillId="5" borderId="103" xfId="0" quotePrefix="1" applyFont="1" applyFill="1" applyBorder="1" applyAlignment="1">
      <alignment horizontal="center"/>
    </xf>
    <xf numFmtId="0" fontId="112" fillId="5" borderId="89" xfId="0" quotePrefix="1" applyFont="1" applyFill="1" applyBorder="1" applyAlignment="1">
      <alignment horizontal="center"/>
    </xf>
    <xf numFmtId="0" fontId="94" fillId="5" borderId="50" xfId="0" applyFont="1" applyFill="1" applyBorder="1" applyAlignment="1">
      <alignment horizontal="center" vertical="center" wrapText="1"/>
    </xf>
    <xf numFmtId="0" fontId="94" fillId="5" borderId="25" xfId="0" applyFont="1" applyFill="1" applyBorder="1" applyAlignment="1">
      <alignment horizontal="center" vertical="center" wrapText="1"/>
    </xf>
    <xf numFmtId="0" fontId="94" fillId="5" borderId="40" xfId="0" applyFont="1" applyFill="1" applyBorder="1" applyAlignment="1">
      <alignment horizontal="center" vertical="center" wrapText="1"/>
    </xf>
    <xf numFmtId="0" fontId="94" fillId="5" borderId="17" xfId="0" applyFont="1" applyFill="1" applyBorder="1" applyAlignment="1">
      <alignment horizontal="center" vertical="center" wrapText="1"/>
    </xf>
    <xf numFmtId="0" fontId="119" fillId="5" borderId="40" xfId="0" applyFont="1" applyFill="1" applyBorder="1" applyAlignment="1">
      <alignment horizontal="center" vertical="center" wrapText="1"/>
    </xf>
    <xf numFmtId="0" fontId="119" fillId="5" borderId="17" xfId="0" applyFont="1" applyFill="1" applyBorder="1" applyAlignment="1">
      <alignment horizontal="center" vertical="center" wrapText="1"/>
    </xf>
    <xf numFmtId="0" fontId="94" fillId="5" borderId="103" xfId="0" applyFont="1" applyFill="1" applyBorder="1" applyAlignment="1">
      <alignment horizontal="center"/>
    </xf>
    <xf numFmtId="0" fontId="94" fillId="5" borderId="104" xfId="0" applyFont="1" applyFill="1" applyBorder="1" applyAlignment="1">
      <alignment horizontal="center"/>
    </xf>
    <xf numFmtId="0" fontId="94" fillId="5" borderId="103" xfId="0" applyFont="1" applyFill="1" applyBorder="1" applyAlignment="1">
      <alignment horizontal="center" vertical="center" wrapText="1"/>
    </xf>
    <xf numFmtId="0" fontId="94" fillId="5" borderId="43" xfId="0" applyFont="1" applyFill="1" applyBorder="1" applyAlignment="1">
      <alignment horizontal="center" vertical="center" wrapText="1"/>
    </xf>
    <xf numFmtId="0" fontId="94" fillId="5" borderId="76" xfId="0" quotePrefix="1" applyFont="1" applyFill="1" applyBorder="1" applyAlignment="1">
      <alignment horizontal="center" vertical="center" wrapText="1"/>
    </xf>
    <xf numFmtId="0" fontId="94" fillId="5" borderId="62" xfId="0" applyFont="1" applyFill="1" applyBorder="1" applyAlignment="1">
      <alignment horizontal="center"/>
    </xf>
    <xf numFmtId="0" fontId="94" fillId="5" borderId="11" xfId="0" applyFont="1" applyFill="1" applyBorder="1" applyAlignment="1">
      <alignment horizontal="center"/>
    </xf>
    <xf numFmtId="0" fontId="94" fillId="5" borderId="60" xfId="0" applyFont="1" applyFill="1" applyBorder="1" applyAlignment="1">
      <alignment horizontal="center"/>
    </xf>
    <xf numFmtId="10" fontId="94" fillId="5" borderId="2" xfId="0" applyNumberFormat="1" applyFont="1" applyFill="1" applyBorder="1" applyAlignment="1">
      <alignment horizontal="center" vertical="center"/>
    </xf>
    <xf numFmtId="10" fontId="94" fillId="5" borderId="35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6" borderId="3" xfId="0" applyFont="1" applyFill="1" applyBorder="1" applyAlignment="1">
      <alignment horizontal="center" vertical="center"/>
    </xf>
    <xf numFmtId="0" fontId="13" fillId="6" borderId="3" xfId="0" quotePrefix="1" applyFont="1" applyFill="1" applyBorder="1" applyAlignment="1">
      <alignment horizontal="center" vertical="center"/>
    </xf>
    <xf numFmtId="0" fontId="13" fillId="6" borderId="75" xfId="0" quotePrefix="1" applyFont="1" applyFill="1" applyBorder="1" applyAlignment="1">
      <alignment horizontal="center" vertical="center"/>
    </xf>
    <xf numFmtId="2" fontId="13" fillId="6" borderId="2" xfId="10" applyNumberFormat="1" applyFont="1" applyFill="1" applyBorder="1" applyAlignment="1">
      <alignment horizontal="center"/>
    </xf>
    <xf numFmtId="2" fontId="13" fillId="6" borderId="35" xfId="10" applyNumberFormat="1" applyFont="1" applyFill="1" applyBorder="1" applyAlignment="1">
      <alignment horizontal="center"/>
    </xf>
    <xf numFmtId="44" fontId="94" fillId="5" borderId="12" xfId="0" applyNumberFormat="1" applyFont="1" applyFill="1" applyBorder="1" applyAlignment="1">
      <alignment horizontal="center"/>
    </xf>
    <xf numFmtId="44" fontId="94" fillId="5" borderId="10" xfId="0" applyNumberFormat="1" applyFont="1" applyFill="1" applyBorder="1" applyAlignment="1">
      <alignment horizontal="center"/>
    </xf>
    <xf numFmtId="0" fontId="13" fillId="6" borderId="34" xfId="0" quotePrefix="1" applyFont="1" applyFill="1" applyBorder="1" applyAlignment="1">
      <alignment horizontal="center" vertical="center"/>
    </xf>
    <xf numFmtId="0" fontId="13" fillId="6" borderId="54" xfId="0" quotePrefix="1" applyFont="1" applyFill="1" applyBorder="1" applyAlignment="1">
      <alignment horizontal="center" vertical="center"/>
    </xf>
    <xf numFmtId="0" fontId="13" fillId="6" borderId="37" xfId="0" quotePrefix="1" applyFont="1" applyFill="1" applyBorder="1" applyAlignment="1">
      <alignment horizontal="center" vertical="center"/>
    </xf>
    <xf numFmtId="0" fontId="94" fillId="5" borderId="5" xfId="0" quotePrefix="1" applyFont="1" applyFill="1" applyBorder="1" applyAlignment="1">
      <alignment horizontal="center"/>
    </xf>
    <xf numFmtId="0" fontId="94" fillId="5" borderId="28" xfId="0" quotePrefix="1" applyFont="1" applyFill="1" applyBorder="1" applyAlignment="1">
      <alignment horizontal="center"/>
    </xf>
    <xf numFmtId="0" fontId="94" fillId="5" borderId="29" xfId="0" quotePrefix="1" applyFont="1" applyFill="1" applyBorder="1" applyAlignment="1">
      <alignment horizontal="center"/>
    </xf>
    <xf numFmtId="0" fontId="94" fillId="5" borderId="4" xfId="0" quotePrefix="1" applyFont="1" applyFill="1" applyBorder="1" applyAlignment="1">
      <alignment horizontal="center"/>
    </xf>
    <xf numFmtId="0" fontId="94" fillId="5" borderId="0" xfId="0" quotePrefix="1" applyFont="1" applyFill="1" applyBorder="1" applyAlignment="1">
      <alignment horizontal="center"/>
    </xf>
    <xf numFmtId="0" fontId="94" fillId="5" borderId="7" xfId="0" quotePrefix="1" applyFont="1" applyFill="1" applyBorder="1" applyAlignment="1">
      <alignment horizontal="center"/>
    </xf>
    <xf numFmtId="0" fontId="94" fillId="5" borderId="3" xfId="0" applyFont="1" applyFill="1" applyBorder="1" applyAlignment="1">
      <alignment horizontal="center" vertical="center"/>
    </xf>
    <xf numFmtId="0" fontId="94" fillId="5" borderId="3" xfId="0" quotePrefix="1" applyFont="1" applyFill="1" applyBorder="1" applyAlignment="1">
      <alignment horizontal="center" vertical="center" wrapText="1"/>
    </xf>
    <xf numFmtId="0" fontId="94" fillId="5" borderId="3" xfId="0" quotePrefix="1" applyFont="1" applyFill="1" applyBorder="1" applyAlignment="1">
      <alignment horizontal="center" vertical="center"/>
    </xf>
    <xf numFmtId="0" fontId="94" fillId="5" borderId="3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/>
    </xf>
    <xf numFmtId="0" fontId="31" fillId="8" borderId="3" xfId="0" quotePrefix="1" applyFont="1" applyFill="1" applyBorder="1" applyAlignment="1">
      <alignment horizontal="center" vertical="center"/>
    </xf>
  </cellXfs>
  <cellStyles count="11">
    <cellStyle name="Euro" xfId="1" xr:uid="{00000000-0005-0000-0000-000002000000}"/>
    <cellStyle name="Millares" xfId="2" builtinId="3"/>
    <cellStyle name="Millares 2" xfId="3" xr:uid="{00000000-0005-0000-0000-000003000000}"/>
    <cellStyle name="Moneda" xfId="4" builtinId="4"/>
    <cellStyle name="Moneda 4" xfId="5" xr:uid="{00000000-0005-0000-0000-000004000000}"/>
    <cellStyle name="Normal" xfId="0" builtinId="0"/>
    <cellStyle name="Normal 2" xfId="6" xr:uid="{00000000-0005-0000-0000-000007000000}"/>
    <cellStyle name="Normal 2 2" xfId="7" xr:uid="{00000000-0005-0000-0000-000008000000}"/>
    <cellStyle name="Normal 3" xfId="8" xr:uid="{00000000-0005-0000-0000-000009000000}"/>
    <cellStyle name="Normal_PRESUP." xfId="9" xr:uid="{00000000-0005-0000-0000-00000A000000}"/>
    <cellStyle name="Porcentaje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ORIGEN DE RECURSOS</a:t>
            </a:r>
          </a:p>
        </c:rich>
      </c:tx>
      <c:layout>
        <c:manualLayout>
          <c:xMode val="edge"/>
          <c:yMode val="edge"/>
          <c:x val="0.33771611548556429"/>
          <c:y val="9.147454928789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7165775401069517"/>
          <c:y val="0.37244990745054274"/>
          <c:w val="0.24331550802139038"/>
          <c:h val="0.46428687093149845"/>
        </c:manualLayout>
      </c:layout>
      <c:pieChart>
        <c:varyColors val="1"/>
        <c:ser>
          <c:idx val="0"/>
          <c:order val="0"/>
          <c:tx>
            <c:v>DEUDA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DA-4A2A-A7C0-14FBE00764C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5DA-4A2A-A7C0-14FBE00764C8}"/>
              </c:ext>
            </c:extLst>
          </c:dPt>
          <c:val>
            <c:numRef>
              <c:f>INVERSION!$D$64:$D$65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DA-4A2A-A7C0-14FBE0076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TENDENCIA RAZON CIRCULANTE</a:t>
            </a:r>
          </a:p>
        </c:rich>
      </c:tx>
      <c:layout>
        <c:manualLayout>
          <c:xMode val="edge"/>
          <c:yMode val="edge"/>
          <c:x val="0.25951594760332375"/>
          <c:y val="4.8485409911996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16981909909425"/>
          <c:y val="0.25454696109707092"/>
          <c:w val="0.79238888203679514"/>
          <c:h val="0.472730070608845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'Razones Fin'!$C$9:$G$9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1-4C2D-AAD7-DEA914710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692959"/>
        <c:axId val="1"/>
      </c:lineChart>
      <c:catAx>
        <c:axId val="8256929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AÑOS</a:t>
                </a:r>
              </a:p>
            </c:rich>
          </c:tx>
          <c:layout>
            <c:manualLayout>
              <c:xMode val="edge"/>
              <c:yMode val="edge"/>
              <c:x val="0.51903153234877897"/>
              <c:y val="0.830308012968967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$</a:t>
                </a:r>
              </a:p>
            </c:rich>
          </c:tx>
          <c:layout>
            <c:manualLayout>
              <c:xMode val="edge"/>
              <c:yMode val="edge"/>
              <c:x val="5.5363039297507168E-2"/>
              <c:y val="0.4666691755442334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56929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TENDENCIA DE iNDICE DE ENDEUDAMIENTO</a:t>
            </a:r>
          </a:p>
        </c:rich>
      </c:tx>
      <c:layout>
        <c:manualLayout>
          <c:xMode val="edge"/>
          <c:yMode val="edge"/>
          <c:x val="0.1811847646951108"/>
          <c:y val="4.9999999999999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1393728222999"/>
          <c:y val="0.26250080108887064"/>
          <c:w val="0.84320557491289194"/>
          <c:h val="0.4562513923687511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'Razones Fin'!$C$18:$G$18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5F-467E-8B8C-EC4468856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694623"/>
        <c:axId val="1"/>
      </c:lineChart>
      <c:catAx>
        <c:axId val="825694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AÑOS</a:t>
                </a:r>
              </a:p>
            </c:rich>
          </c:tx>
          <c:layout>
            <c:manualLayout>
              <c:xMode val="edge"/>
              <c:yMode val="edge"/>
              <c:x val="0.49477348470976013"/>
              <c:y val="0.825002704814569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56946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TENDENCIA ROTACION ACTIVO TOTAL</a:t>
            </a:r>
          </a:p>
        </c:rich>
      </c:tx>
      <c:layout>
        <c:manualLayout>
          <c:xMode val="edge"/>
          <c:yMode val="edge"/>
          <c:x val="0.20802957557134627"/>
          <c:y val="4.9079391391865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53315239570099"/>
          <c:y val="0.25766948352869634"/>
          <c:w val="0.77737364809115561"/>
          <c:h val="0.466259065432879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'Razones Fin'!$C$27:$G$27</c:f>
              <c:numCache>
                <c:formatCode>#,##0.00_ ;\-#,##0.00\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5-4084-8BAB-679700526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00863"/>
        <c:axId val="1"/>
      </c:lineChart>
      <c:catAx>
        <c:axId val="825700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AÑOS</a:t>
                </a:r>
              </a:p>
            </c:rich>
          </c:tx>
          <c:layout>
            <c:manualLayout>
              <c:xMode val="edge"/>
              <c:yMode val="edge"/>
              <c:x val="0.5218985980410985"/>
              <c:y val="0.828223314190989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VECES DE ROTACION</a:t>
                </a:r>
              </a:p>
            </c:rich>
          </c:tx>
          <c:layout>
            <c:manualLayout>
              <c:xMode val="edge"/>
              <c:yMode val="edge"/>
              <c:x val="5.8394084885730745E-2"/>
              <c:y val="0.251533360961458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;\-#,##0.0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57008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TENDENCIA DE MARGEN SOBRE VENTAS</a:t>
            </a:r>
          </a:p>
        </c:rich>
      </c:tx>
      <c:layout>
        <c:manualLayout>
          <c:xMode val="edge"/>
          <c:yMode val="edge"/>
          <c:x val="0.16077219424825115"/>
          <c:y val="4.4444746130871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14147909967847"/>
          <c:y val="0.27777928482684916"/>
          <c:w val="0.75884244372990362"/>
          <c:h val="0.4500024414194955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'Razones Fin'!$C$36:$G$36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C1-4CF0-84B7-59991F591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697951"/>
        <c:axId val="1"/>
      </c:lineChart>
      <c:catAx>
        <c:axId val="825697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AÑOS</a:t>
                </a:r>
              </a:p>
            </c:rich>
          </c:tx>
          <c:layout>
            <c:manualLayout>
              <c:xMode val="edge"/>
              <c:yMode val="edge"/>
              <c:x val="0.53054678787469167"/>
              <c:y val="0.833337496606027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RENDIMIENTO DE VENTAS</a:t>
                </a:r>
              </a:p>
            </c:rich>
          </c:tx>
          <c:layout>
            <c:manualLayout>
              <c:xMode val="edge"/>
              <c:yMode val="edge"/>
              <c:x val="5.1446723665979514E-2"/>
              <c:y val="0.2888911213684496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569795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INDICE RENDIMIENTO DE ACTIVOS TOTALES</a:t>
            </a:r>
          </a:p>
        </c:rich>
      </c:tx>
      <c:layout>
        <c:manualLayout>
          <c:xMode val="edge"/>
          <c:yMode val="edge"/>
          <c:x val="0.12820539453844865"/>
          <c:y val="4.20558421576613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25691186182853"/>
          <c:y val="0.23831830077737295"/>
          <c:w val="0.79487428283466932"/>
          <c:h val="0.532711495855304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'Razones Fin'!$C$45:$G$45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2F-4085-BDC1-8FA19205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695455"/>
        <c:axId val="1"/>
      </c:lineChart>
      <c:catAx>
        <c:axId val="825695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AÑOS</a:t>
                </a:r>
              </a:p>
            </c:rich>
          </c:tx>
          <c:layout>
            <c:manualLayout>
              <c:xMode val="edge"/>
              <c:yMode val="edge"/>
              <c:x val="0.51282191321829451"/>
              <c:y val="0.8598149153769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RENDIMIENTO DE INVERSION</a:t>
                </a:r>
              </a:p>
            </c:rich>
          </c:tx>
          <c:layout>
            <c:manualLayout>
              <c:xMode val="edge"/>
              <c:yMode val="edge"/>
              <c:x val="5.1281956776679509E-2"/>
              <c:y val="0.2149538419766494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56954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tendencia de rendimiento  sobre el capital contable</a:t>
            </a:r>
          </a:p>
        </c:rich>
      </c:tx>
      <c:layout>
        <c:manualLayout>
          <c:xMode val="edge"/>
          <c:yMode val="edge"/>
          <c:x val="0.15088770153730782"/>
          <c:y val="4.1095284437759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047337278107"/>
          <c:y val="0.30137120688501934"/>
          <c:w val="0.80177514792899418"/>
          <c:h val="0.47488796236427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'Razones Fin'!$C$54:$G$54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42-47D5-8F3C-4DC4855B2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698783"/>
        <c:axId val="1"/>
      </c:lineChart>
      <c:catAx>
        <c:axId val="825698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años</a:t>
                </a:r>
              </a:p>
            </c:rich>
          </c:tx>
          <c:layout>
            <c:manualLayout>
              <c:xMode val="edge"/>
              <c:yMode val="edge"/>
              <c:x val="0.52366891638545188"/>
              <c:y val="0.86301778288949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rendimiento del capital</a:t>
                </a:r>
              </a:p>
            </c:rich>
          </c:tx>
          <c:layout>
            <c:manualLayout>
              <c:xMode val="edge"/>
              <c:yMode val="edge"/>
              <c:x val="4.7336895388076491E-2"/>
              <c:y val="0.3059378041227992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569878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14780183727036"/>
          <c:y val="0.15149002624671917"/>
          <c:w val="0.67244289445938144"/>
          <c:h val="0.71476174182572039"/>
        </c:manualLayout>
      </c:layout>
      <c:lineChart>
        <c:grouping val="standard"/>
        <c:varyColors val="0"/>
        <c:ser>
          <c:idx val="1"/>
          <c:order val="0"/>
          <c:tx>
            <c:strRef>
              <c:f>'P Equilibrio'!$F$21</c:f>
              <c:strCache>
                <c:ptCount val="1"/>
                <c:pt idx="0">
                  <c:v>INGRESOS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'P Equilibrio'!$E$22:$E$38</c:f>
              <c:numCache>
                <c:formatCode>0</c:formatCode>
                <c:ptCount val="17"/>
                <c:pt idx="0" formatCode="General">
                  <c:v>0</c:v>
                </c:pt>
                <c:pt idx="1">
                  <c:v>3.1538461538461537</c:v>
                </c:pt>
                <c:pt idx="2">
                  <c:v>6.3076923076923075</c:v>
                </c:pt>
                <c:pt idx="3">
                  <c:v>9.4615384615384617</c:v>
                </c:pt>
                <c:pt idx="4">
                  <c:v>12.615384615384615</c:v>
                </c:pt>
                <c:pt idx="5">
                  <c:v>15.769230769230768</c:v>
                </c:pt>
                <c:pt idx="6">
                  <c:v>18.923076923076923</c:v>
                </c:pt>
                <c:pt idx="7">
                  <c:v>22.076923076923077</c:v>
                </c:pt>
                <c:pt idx="8">
                  <c:v>25.23076923076923</c:v>
                </c:pt>
                <c:pt idx="9">
                  <c:v>28.384615384615383</c:v>
                </c:pt>
                <c:pt idx="10">
                  <c:v>31.538461538461537</c:v>
                </c:pt>
                <c:pt idx="11">
                  <c:v>34.692307692307693</c:v>
                </c:pt>
                <c:pt idx="12">
                  <c:v>37.846153846153847</c:v>
                </c:pt>
                <c:pt idx="13">
                  <c:v>41</c:v>
                </c:pt>
                <c:pt idx="14">
                  <c:v>44.153846153846153</c:v>
                </c:pt>
                <c:pt idx="15">
                  <c:v>47.307692307692307</c:v>
                </c:pt>
                <c:pt idx="16">
                  <c:v>50.46153846153846</c:v>
                </c:pt>
              </c:numCache>
            </c:numRef>
          </c:cat>
          <c:val>
            <c:numRef>
              <c:f>'P Equilibrio'!$F$22:$F$38</c:f>
              <c:numCache>
                <c:formatCode>_("$"* #,##0.00_);_("$"* \(#,##0.00\);_("$"* "-"??_);_(@_)</c:formatCode>
                <c:ptCount val="17"/>
                <c:pt idx="0">
                  <c:v>0</c:v>
                </c:pt>
                <c:pt idx="1">
                  <c:v>118923.07692307689</c:v>
                </c:pt>
                <c:pt idx="2">
                  <c:v>237846.15384615379</c:v>
                </c:pt>
                <c:pt idx="3">
                  <c:v>356769.23076923069</c:v>
                </c:pt>
                <c:pt idx="4">
                  <c:v>475692.30769230757</c:v>
                </c:pt>
                <c:pt idx="5">
                  <c:v>594615.38461538439</c:v>
                </c:pt>
                <c:pt idx="6">
                  <c:v>713538.46153846139</c:v>
                </c:pt>
                <c:pt idx="7">
                  <c:v>832461.53846153826</c:v>
                </c:pt>
                <c:pt idx="8">
                  <c:v>951384.61538461514</c:v>
                </c:pt>
                <c:pt idx="9">
                  <c:v>1070307.692307692</c:v>
                </c:pt>
                <c:pt idx="10">
                  <c:v>1189230.7692307688</c:v>
                </c:pt>
                <c:pt idx="11">
                  <c:v>1308153.8461538458</c:v>
                </c:pt>
                <c:pt idx="12">
                  <c:v>1427076.9230769228</c:v>
                </c:pt>
                <c:pt idx="13">
                  <c:v>1545999.9999999995</c:v>
                </c:pt>
                <c:pt idx="14">
                  <c:v>1664923.0769230765</c:v>
                </c:pt>
                <c:pt idx="15">
                  <c:v>1783846.1538461533</c:v>
                </c:pt>
                <c:pt idx="16">
                  <c:v>1902769.2307692303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FA-4279-8180-0FA1A2ED8081}"/>
            </c:ext>
          </c:extLst>
        </c:ser>
        <c:ser>
          <c:idx val="0"/>
          <c:order val="1"/>
          <c:tx>
            <c:v>COSTOS FIJOS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val>
            <c:numRef>
              <c:f>'P Equilibrio'!$G$22:$G$38</c:f>
              <c:numCache>
                <c:formatCode>_("$"* #,##0.00_);_("$"* \(#,##0.00\);_("$"* "-"??_);_(@_)</c:formatCode>
                <c:ptCount val="17"/>
                <c:pt idx="0">
                  <c:v>1236512.550817352</c:v>
                </c:pt>
                <c:pt idx="1">
                  <c:v>1236512.550817352</c:v>
                </c:pt>
                <c:pt idx="2">
                  <c:v>1236512.550817352</c:v>
                </c:pt>
                <c:pt idx="3">
                  <c:v>1236512.550817352</c:v>
                </c:pt>
                <c:pt idx="4">
                  <c:v>1236512.550817352</c:v>
                </c:pt>
                <c:pt idx="5">
                  <c:v>1236512.550817352</c:v>
                </c:pt>
                <c:pt idx="6">
                  <c:v>1236512.550817352</c:v>
                </c:pt>
                <c:pt idx="7">
                  <c:v>1236512.550817352</c:v>
                </c:pt>
                <c:pt idx="8">
                  <c:v>1236512.550817352</c:v>
                </c:pt>
                <c:pt idx="9">
                  <c:v>1236512.550817352</c:v>
                </c:pt>
                <c:pt idx="10">
                  <c:v>1236512.550817352</c:v>
                </c:pt>
                <c:pt idx="11">
                  <c:v>1236512.550817352</c:v>
                </c:pt>
                <c:pt idx="12">
                  <c:v>1236512.550817352</c:v>
                </c:pt>
                <c:pt idx="13">
                  <c:v>1236512.550817352</c:v>
                </c:pt>
                <c:pt idx="14">
                  <c:v>1236512.550817352</c:v>
                </c:pt>
                <c:pt idx="15">
                  <c:v>1236512.550817352</c:v>
                </c:pt>
                <c:pt idx="16">
                  <c:v>1236512.550817352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FA-4279-8180-0FA1A2ED8081}"/>
            </c:ext>
          </c:extLst>
        </c:ser>
        <c:ser>
          <c:idx val="2"/>
          <c:order val="2"/>
          <c:tx>
            <c:v>COSTO TOTAL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pPr>
              <a:solidFill>
                <a:srgbClr val="9BBB59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'P Equilibrio'!$I$22:$I$38</c:f>
              <c:numCache>
                <c:formatCode>_("$"* #,##0.00_);_("$"* \(#,##0.00\);_("$"* "-"??_);_(@_)</c:formatCode>
                <c:ptCount val="17"/>
                <c:pt idx="0">
                  <c:v>1236512.550817352</c:v>
                </c:pt>
                <c:pt idx="1">
                  <c:v>1362938.4391690483</c:v>
                </c:pt>
                <c:pt idx="2">
                  <c:v>1489364.3275207449</c:v>
                </c:pt>
                <c:pt idx="3">
                  <c:v>1615790.2158724412</c:v>
                </c:pt>
                <c:pt idx="4">
                  <c:v>1742216.1042241375</c:v>
                </c:pt>
                <c:pt idx="5">
                  <c:v>1868641.992575834</c:v>
                </c:pt>
                <c:pt idx="6">
                  <c:v>1995067.8809275304</c:v>
                </c:pt>
                <c:pt idx="7">
                  <c:v>2121493.7692792267</c:v>
                </c:pt>
                <c:pt idx="8">
                  <c:v>2247919.6576309232</c:v>
                </c:pt>
                <c:pt idx="9">
                  <c:v>2374345.5459826197</c:v>
                </c:pt>
                <c:pt idx="10">
                  <c:v>2500771.4343343158</c:v>
                </c:pt>
                <c:pt idx="11">
                  <c:v>2627197.3226860124</c:v>
                </c:pt>
                <c:pt idx="12">
                  <c:v>2753623.2110377084</c:v>
                </c:pt>
                <c:pt idx="13">
                  <c:v>2880049.099389405</c:v>
                </c:pt>
                <c:pt idx="14">
                  <c:v>3006474.9877411015</c:v>
                </c:pt>
                <c:pt idx="15">
                  <c:v>3132900.8760927981</c:v>
                </c:pt>
                <c:pt idx="16">
                  <c:v>3259326.7644444946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FA-4279-8180-0FA1A2ED8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06687"/>
        <c:axId val="1"/>
      </c:lineChart>
      <c:catAx>
        <c:axId val="8257066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"/>
        <c:crossesAt val="0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825706687"/>
        <c:crosses val="autoZero"/>
        <c:crossBetween val="between"/>
        <c:majorUnit val="5000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ANALISIS DE SENSIBILIDAD RIESGO-RENDIMIENTO 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200" b="0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A LARGO PLAZO</a:t>
            </a:r>
          </a:p>
        </c:rich>
      </c:tx>
      <c:layout>
        <c:manualLayout>
          <c:xMode val="edge"/>
          <c:yMode val="edge"/>
          <c:x val="0.18351492865422278"/>
          <c:y val="3.243262908968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62223632982323"/>
          <c:y val="0.17297325672128822"/>
          <c:w val="0.75272218902042198"/>
          <c:h val="0.70000056749663053"/>
        </c:manualLayout>
      </c:layout>
      <c:lineChart>
        <c:grouping val="standard"/>
        <c:varyColors val="0"/>
        <c:ser>
          <c:idx val="0"/>
          <c:order val="0"/>
          <c:tx>
            <c:strRef>
              <c:f>SENSIBILIDAD!$C$2</c:f>
              <c:strCache>
                <c:ptCount val="1"/>
                <c:pt idx="0">
                  <c:v>VAN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numRef>
              <c:f>SENSIBILIDAD!$D$3:$D$10</c:f>
              <c:numCache>
                <c:formatCode>0.00%</c:formatCode>
                <c:ptCount val="8"/>
                <c:pt idx="0" formatCode="0%">
                  <c:v>0</c:v>
                </c:pt>
                <c:pt idx="1">
                  <c:v>0.1</c:v>
                </c:pt>
                <c:pt idx="2">
                  <c:v>0.28000000000000003</c:v>
                </c:pt>
                <c:pt idx="3">
                  <c:v>0.46</c:v>
                </c:pt>
                <c:pt idx="4">
                  <c:v>0.64</c:v>
                </c:pt>
                <c:pt idx="5">
                  <c:v>0.82000000000000006</c:v>
                </c:pt>
                <c:pt idx="6">
                  <c:v>1</c:v>
                </c:pt>
                <c:pt idx="7">
                  <c:v>0</c:v>
                </c:pt>
              </c:numCache>
            </c:numRef>
          </c:cat>
          <c:val>
            <c:numRef>
              <c:f>SENSIBILIDAD!$C$3:$C$10</c:f>
              <c:numCache>
                <c:formatCode>"$"#,##0_);[Red]\("$"#,##0\)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0-42A4-9DE9-3EC85390B158}"/>
            </c:ext>
          </c:extLst>
        </c:ser>
        <c:ser>
          <c:idx val="1"/>
          <c:order val="1"/>
          <c:tx>
            <c:strRef>
              <c:f>SENSIBILIDAD!$D$2</c:f>
              <c:strCache>
                <c:ptCount val="1"/>
                <c:pt idx="0">
                  <c:v>TAMAR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SENSIBILIDAD!$D$3:$D$10</c:f>
              <c:numCache>
                <c:formatCode>0.00%</c:formatCode>
                <c:ptCount val="8"/>
                <c:pt idx="0" formatCode="0%">
                  <c:v>0</c:v>
                </c:pt>
                <c:pt idx="1">
                  <c:v>0.1</c:v>
                </c:pt>
                <c:pt idx="2">
                  <c:v>0.28000000000000003</c:v>
                </c:pt>
                <c:pt idx="3">
                  <c:v>0.46</c:v>
                </c:pt>
                <c:pt idx="4">
                  <c:v>0.64</c:v>
                </c:pt>
                <c:pt idx="5">
                  <c:v>0.82000000000000006</c:v>
                </c:pt>
                <c:pt idx="6">
                  <c:v>1</c:v>
                </c:pt>
                <c:pt idx="7">
                  <c:v>0</c:v>
                </c:pt>
              </c:numCache>
            </c:numRef>
          </c:cat>
          <c:val>
            <c:numRef>
              <c:f>SENSIBILIDAD!$D$3:$D$10</c:f>
              <c:numCache>
                <c:formatCode>0.00%</c:formatCode>
                <c:ptCount val="8"/>
                <c:pt idx="0" formatCode="0%">
                  <c:v>0</c:v>
                </c:pt>
                <c:pt idx="1">
                  <c:v>0.1</c:v>
                </c:pt>
                <c:pt idx="2">
                  <c:v>0.28000000000000003</c:v>
                </c:pt>
                <c:pt idx="3">
                  <c:v>0.46</c:v>
                </c:pt>
                <c:pt idx="4">
                  <c:v>0.64</c:v>
                </c:pt>
                <c:pt idx="5">
                  <c:v>0.82000000000000006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0-42A4-9DE9-3EC85390B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700447"/>
        <c:axId val="1"/>
      </c:lineChart>
      <c:catAx>
        <c:axId val="8257004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TMAR %</a:t>
                </a:r>
              </a:p>
            </c:rich>
          </c:tx>
          <c:layout>
            <c:manualLayout>
              <c:xMode val="edge"/>
              <c:yMode val="edge"/>
              <c:x val="0.51977656980694664"/>
              <c:y val="0.9450461266599100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VAN</a:t>
                </a:r>
              </a:p>
            </c:rich>
          </c:tx>
          <c:layout>
            <c:manualLayout>
              <c:xMode val="edge"/>
              <c:yMode val="edge"/>
              <c:x val="2.4883222084549076E-2"/>
              <c:y val="0.50000077960551959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[Red]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825700447"/>
        <c:crosses val="autoZero"/>
        <c:crossBetween val="midCat"/>
      </c:valAx>
      <c:spPr>
        <a:gradFill rotWithShape="0">
          <a:gsLst>
            <a:gs pos="0">
              <a:srgbClr val="FFFFFF"/>
            </a:gs>
            <a:gs pos="50000">
              <a:srgbClr val="FFFFCC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991960452083598"/>
          <c:y val="0.13384274344906516"/>
          <c:w val="0.28046583192135527"/>
          <c:h val="5.30320304232144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gradFill rotWithShape="0">
      <a:gsLst>
        <a:gs pos="0">
          <a:srgbClr val="008080"/>
        </a:gs>
        <a:gs pos="100000">
          <a:srgbClr val="CCFFCC"/>
        </a:gs>
      </a:gsLst>
      <a:path path="rect">
        <a:fillToRect l="50000" t="50000" r="50000" b="50000"/>
      </a:path>
    </a:gradFill>
    <a:ln w="38100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11" r="0.75000000000000011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77</xdr:row>
      <xdr:rowOff>28575</xdr:rowOff>
    </xdr:from>
    <xdr:to>
      <xdr:col>3</xdr:col>
      <xdr:colOff>838200</xdr:colOff>
      <xdr:row>88</xdr:row>
      <xdr:rowOff>9525</xdr:rowOff>
    </xdr:to>
    <xdr:graphicFrame macro="">
      <xdr:nvGraphicFramePr>
        <xdr:cNvPr id="10379353" name="Chart 1">
          <a:extLst>
            <a:ext uri="{FF2B5EF4-FFF2-40B4-BE49-F238E27FC236}">
              <a16:creationId xmlns:a16="http://schemas.microsoft.com/office/drawing/2014/main" id="{4FA32201-7F06-4B88-9F6F-99F62397E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0.11858</cdr:x>
      <cdr:y>0.27091</cdr:y>
    </cdr:from>
    <cdr:to>
      <cdr:x>0.4085</cdr:x>
      <cdr:y>0.4926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468" y="825045"/>
          <a:ext cx="1182378" cy="513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APORTACION DE  SOCIOS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0.73848</cdr:x>
      <cdr:y>0.53172</cdr:y>
    </cdr:from>
    <cdr:to>
      <cdr:x>0.88625</cdr:x>
      <cdr:y>0.69857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5896" y="1241585"/>
          <a:ext cx="829972" cy="548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APOYOS </a:t>
          </a: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FINANCIEROS</a:t>
          </a: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2</xdr:row>
      <xdr:rowOff>95250</xdr:rowOff>
    </xdr:from>
    <xdr:to>
      <xdr:col>11</xdr:col>
      <xdr:colOff>695325</xdr:colOff>
      <xdr:row>12</xdr:row>
      <xdr:rowOff>123825</xdr:rowOff>
    </xdr:to>
    <xdr:graphicFrame macro="">
      <xdr:nvGraphicFramePr>
        <xdr:cNvPr id="10540462" name="Chart 1">
          <a:extLst>
            <a:ext uri="{FF2B5EF4-FFF2-40B4-BE49-F238E27FC236}">
              <a16:creationId xmlns:a16="http://schemas.microsoft.com/office/drawing/2014/main" id="{8233D910-A5DA-4AC8-BA7C-9C4AD8FD8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733425</xdr:colOff>
      <xdr:row>13</xdr:row>
      <xdr:rowOff>171450</xdr:rowOff>
    </xdr:from>
    <xdr:to>
      <xdr:col>12</xdr:col>
      <xdr:colOff>114300</xdr:colOff>
      <xdr:row>23</xdr:row>
      <xdr:rowOff>66675</xdr:rowOff>
    </xdr:to>
    <xdr:graphicFrame macro="">
      <xdr:nvGraphicFramePr>
        <xdr:cNvPr id="10540463" name="Chart 2">
          <a:extLst>
            <a:ext uri="{FF2B5EF4-FFF2-40B4-BE49-F238E27FC236}">
              <a16:creationId xmlns:a16="http://schemas.microsoft.com/office/drawing/2014/main" id="{11B18D7D-C832-4704-88F0-F7E93A94E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114300</xdr:colOff>
      <xdr:row>2</xdr:row>
      <xdr:rowOff>66675</xdr:rowOff>
    </xdr:from>
    <xdr:to>
      <xdr:col>15</xdr:col>
      <xdr:colOff>200025</xdr:colOff>
      <xdr:row>12</xdr:row>
      <xdr:rowOff>47625</xdr:rowOff>
    </xdr:to>
    <xdr:graphicFrame macro="">
      <xdr:nvGraphicFramePr>
        <xdr:cNvPr id="10540464" name="Chart 3">
          <a:extLst>
            <a:ext uri="{FF2B5EF4-FFF2-40B4-BE49-F238E27FC236}">
              <a16:creationId xmlns:a16="http://schemas.microsoft.com/office/drawing/2014/main" id="{38002492-AA06-4876-8DD4-F9E3B0915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723900</xdr:colOff>
      <xdr:row>25</xdr:row>
      <xdr:rowOff>0</xdr:rowOff>
    </xdr:from>
    <xdr:to>
      <xdr:col>12</xdr:col>
      <xdr:colOff>333375</xdr:colOff>
      <xdr:row>35</xdr:row>
      <xdr:rowOff>95250</xdr:rowOff>
    </xdr:to>
    <xdr:graphicFrame macro="">
      <xdr:nvGraphicFramePr>
        <xdr:cNvPr id="10540465" name="Chart 4">
          <a:extLst>
            <a:ext uri="{FF2B5EF4-FFF2-40B4-BE49-F238E27FC236}">
              <a16:creationId xmlns:a16="http://schemas.microsoft.com/office/drawing/2014/main" id="{322CA7D1-0C79-42B6-89FB-7A0CD9523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752475</xdr:colOff>
      <xdr:row>37</xdr:row>
      <xdr:rowOff>38100</xdr:rowOff>
    </xdr:from>
    <xdr:to>
      <xdr:col>12</xdr:col>
      <xdr:colOff>381000</xdr:colOff>
      <xdr:row>49</xdr:row>
      <xdr:rowOff>123825</xdr:rowOff>
    </xdr:to>
    <xdr:graphicFrame macro="">
      <xdr:nvGraphicFramePr>
        <xdr:cNvPr id="10540466" name="Chart 5">
          <a:extLst>
            <a:ext uri="{FF2B5EF4-FFF2-40B4-BE49-F238E27FC236}">
              <a16:creationId xmlns:a16="http://schemas.microsoft.com/office/drawing/2014/main" id="{6BCEE141-8C21-4161-A60B-F03BC4377E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571500</xdr:colOff>
      <xdr:row>50</xdr:row>
      <xdr:rowOff>104775</xdr:rowOff>
    </xdr:from>
    <xdr:to>
      <xdr:col>11</xdr:col>
      <xdr:colOff>419100</xdr:colOff>
      <xdr:row>64</xdr:row>
      <xdr:rowOff>9525</xdr:rowOff>
    </xdr:to>
    <xdr:graphicFrame macro="">
      <xdr:nvGraphicFramePr>
        <xdr:cNvPr id="10540467" name="Chart 6">
          <a:extLst>
            <a:ext uri="{FF2B5EF4-FFF2-40B4-BE49-F238E27FC236}">
              <a16:creationId xmlns:a16="http://schemas.microsoft.com/office/drawing/2014/main" id="{84502816-A632-4090-8448-43382D8FF1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43</xdr:row>
      <xdr:rowOff>38100</xdr:rowOff>
    </xdr:from>
    <xdr:to>
      <xdr:col>6</xdr:col>
      <xdr:colOff>9525</xdr:colOff>
      <xdr:row>66</xdr:row>
      <xdr:rowOff>0</xdr:rowOff>
    </xdr:to>
    <xdr:graphicFrame macro="">
      <xdr:nvGraphicFramePr>
        <xdr:cNvPr id="10637374" name="1 Gráfico">
          <a:extLst>
            <a:ext uri="{FF2B5EF4-FFF2-40B4-BE49-F238E27FC236}">
              <a16:creationId xmlns:a16="http://schemas.microsoft.com/office/drawing/2014/main" id="{1E248E29-E2A0-494A-9AC9-077F7BD710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0.82934</cdr:x>
      <cdr:y>0.73597</cdr:y>
    </cdr:from>
    <cdr:to>
      <cdr:x>1</cdr:x>
      <cdr:y>0.82364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81989" y="2884207"/>
          <a:ext cx="953462" cy="347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/>
            <a:t>COSTOS FIJOS</a:t>
          </a:r>
        </a:p>
      </cdr:txBody>
    </cdr:sp>
  </cdr:relSizeAnchor>
  <cdr:relSizeAnchor xmlns:cdr="http://schemas.openxmlformats.org/drawingml/2006/chartDrawing">
    <cdr:from>
      <cdr:x>0.8178</cdr:x>
      <cdr:y>0.3211</cdr:y>
    </cdr:from>
    <cdr:to>
      <cdr:x>0.99257</cdr:x>
      <cdr:y>0.40706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619721" y="1219560"/>
          <a:ext cx="973862" cy="345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/>
            <a:t>COSTO</a:t>
          </a:r>
          <a:r>
            <a:rPr lang="es-MX" sz="1100" baseline="0"/>
            <a:t> TOTAL</a:t>
          </a:r>
          <a:endParaRPr lang="es-MX" sz="1100"/>
        </a:p>
      </cdr:txBody>
    </cdr:sp>
  </cdr:relSizeAnchor>
  <cdr:relSizeAnchor xmlns:cdr="http://schemas.openxmlformats.org/drawingml/2006/chartDrawing">
    <cdr:from>
      <cdr:x>0.84458</cdr:x>
      <cdr:y>0.13939</cdr:y>
    </cdr:from>
    <cdr:to>
      <cdr:x>1</cdr:x>
      <cdr:y>0.22973</cdr:y>
    </cdr:to>
    <cdr:sp macro="" textlink="">
      <cdr:nvSpPr>
        <cdr:cNvPr id="4" name="1 CuadroTexto"/>
        <cdr:cNvSpPr txBox="1"/>
      </cdr:nvSpPr>
      <cdr:spPr>
        <a:xfrm xmlns:a="http://schemas.openxmlformats.org/drawingml/2006/main">
          <a:off x="4686074" y="470717"/>
          <a:ext cx="857476" cy="3417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 baseline="0"/>
            <a:t> INGRESOS</a:t>
          </a:r>
          <a:r>
            <a:rPr lang="es-MX" sz="1100"/>
            <a:t>S</a:t>
          </a:r>
        </a:p>
      </cdr:txBody>
    </cdr:sp>
  </cdr:relSizeAnchor>
  <cdr:relSizeAnchor xmlns:cdr="http://schemas.openxmlformats.org/drawingml/2006/chartDrawing">
    <cdr:from>
      <cdr:x>0.20545</cdr:x>
      <cdr:y>0.57657</cdr:y>
    </cdr:from>
    <cdr:to>
      <cdr:x>0.36337</cdr:x>
      <cdr:y>0.63504</cdr:y>
    </cdr:to>
    <cdr:sp macro="" textlink="">
      <cdr:nvSpPr>
        <cdr:cNvPr id="6" name="1 CuadroTexto"/>
        <cdr:cNvSpPr txBox="1"/>
      </cdr:nvSpPr>
      <cdr:spPr>
        <a:xfrm xmlns:a="http://schemas.openxmlformats.org/drawingml/2006/main">
          <a:off x="1407285" y="2245982"/>
          <a:ext cx="829031" cy="2309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100">
              <a:solidFill>
                <a:srgbClr val="FF0000"/>
              </a:solidFill>
            </a:rPr>
            <a:t>P. EQUILIBRIO</a:t>
          </a:r>
        </a:p>
      </cdr:txBody>
    </cdr:sp>
  </cdr:relSizeAnchor>
  <cdr:relSizeAnchor xmlns:cdr="http://schemas.openxmlformats.org/drawingml/2006/chartDrawing">
    <cdr:from>
      <cdr:x>0.38835</cdr:x>
      <cdr:y>0.8971</cdr:y>
    </cdr:from>
    <cdr:to>
      <cdr:x>0.60772</cdr:x>
      <cdr:y>0.97032</cdr:y>
    </cdr:to>
    <cdr:sp macro="" textlink="">
      <cdr:nvSpPr>
        <cdr:cNvPr id="7" name="1 CuadroTexto"/>
        <cdr:cNvSpPr txBox="1"/>
      </cdr:nvSpPr>
      <cdr:spPr>
        <a:xfrm xmlns:a="http://schemas.openxmlformats.org/drawingml/2006/main">
          <a:off x="2454737" y="3467100"/>
          <a:ext cx="1298113" cy="2400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200" b="1">
              <a:solidFill>
                <a:schemeClr val="accent5">
                  <a:lumMod val="50000"/>
                </a:schemeClr>
              </a:solidFill>
            </a:rPr>
            <a:t>UNIDADES</a:t>
          </a:r>
        </a:p>
      </cdr:txBody>
    </cdr:sp>
  </cdr:relSizeAnchor>
  <cdr:relSizeAnchor xmlns:cdr="http://schemas.openxmlformats.org/drawingml/2006/chartDrawing">
    <cdr:from>
      <cdr:x>0.00221</cdr:x>
      <cdr:y>0.33717</cdr:y>
    </cdr:from>
    <cdr:to>
      <cdr:x>0.00221</cdr:x>
      <cdr:y>0.33742</cdr:y>
    </cdr:to>
    <cdr:sp macro="" textlink="">
      <cdr:nvSpPr>
        <cdr:cNvPr id="8" name="1 CuadroTexto"/>
        <cdr:cNvSpPr txBox="1"/>
      </cdr:nvSpPr>
      <cdr:spPr>
        <a:xfrm xmlns:a="http://schemas.openxmlformats.org/drawingml/2006/main">
          <a:off x="0" y="1443832"/>
          <a:ext cx="300038" cy="3750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1800" b="1">
              <a:solidFill>
                <a:schemeClr val="accent5">
                  <a:lumMod val="50000"/>
                </a:schemeClr>
              </a:solidFill>
            </a:rPr>
            <a:t>$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15</xdr:row>
      <xdr:rowOff>123825</xdr:rowOff>
    </xdr:from>
    <xdr:to>
      <xdr:col>8</xdr:col>
      <xdr:colOff>342900</xdr:colOff>
      <xdr:row>39</xdr:row>
      <xdr:rowOff>9525</xdr:rowOff>
    </xdr:to>
    <xdr:graphicFrame macro="">
      <xdr:nvGraphicFramePr>
        <xdr:cNvPr id="10657852" name="Chart 2">
          <a:extLst>
            <a:ext uri="{FF2B5EF4-FFF2-40B4-BE49-F238E27FC236}">
              <a16:creationId xmlns:a16="http://schemas.microsoft.com/office/drawing/2014/main" id="{EB56FD2F-F2D7-485C-BE2F-990F8E345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zminivettereyesserrano/Downloads/Financiero%20Actu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Balance Inic"/>
      <sheetName val="Pago Financiamto"/>
      <sheetName val="Pres.Ventas"/>
      <sheetName val="DATOS COST UNIT."/>
      <sheetName val="Costo de Prod"/>
      <sheetName val="Pres. de compras año 1"/>
      <sheetName val="Nomina Prod Ene-Nov."/>
      <sheetName val="Nomina Prod. Dic."/>
      <sheetName val="Nomina admon Ene-Nov"/>
      <sheetName val="Nomina Admon. Dic"/>
      <sheetName val="ISR Ene-Nov Y Dic. dep producci"/>
      <sheetName val="ISR Ene-Nov y Dic Dep. Admon"/>
      <sheetName val="Concentrado Nominas Prod y admo"/>
      <sheetName val="IMSS, AFORE, INF. Depto prod"/>
      <sheetName val="IMSS, AFORE, INFV. Depto Admon"/>
      <sheetName val="Concentrado IMSS Y 2% Nomina"/>
      <sheetName val="Nomina año 1 "/>
      <sheetName val="Pres. Costos Fijos año 1"/>
      <sheetName val="Inventario año 1"/>
      <sheetName val="Concent, Vtas, CdeV, Gastos A1"/>
      <sheetName val="Flujo Efec mensual 5 Años"/>
      <sheetName val=" Deprec. 5 años"/>
      <sheetName val="Edo.Result Proy"/>
      <sheetName val="Balances Proy"/>
      <sheetName val="Razones Fin"/>
      <sheetName val="P Equilibrio"/>
      <sheetName val="VAN TIR"/>
      <sheetName val="SENS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6">
          <cell r="B56" t="str">
            <v>IMSS</v>
          </cell>
        </row>
        <row r="57">
          <cell r="B57" t="str">
            <v>AFORE</v>
          </cell>
        </row>
        <row r="58">
          <cell r="B58" t="str">
            <v>INFONAVIT</v>
          </cell>
        </row>
        <row r="59">
          <cell r="B59" t="str">
            <v>2% RETIRO</v>
          </cell>
        </row>
        <row r="60">
          <cell r="B60" t="str">
            <v>2%/NOMINA</v>
          </cell>
        </row>
        <row r="61">
          <cell r="B61" t="str">
            <v>TOTAL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A1:L93"/>
  <sheetViews>
    <sheetView topLeftCell="A41" zoomScale="120" zoomScaleNormal="120" zoomScaleSheetLayoutView="100" workbookViewId="0">
      <selection activeCell="A53" sqref="A53"/>
    </sheetView>
  </sheetViews>
  <sheetFormatPr baseColWidth="10" defaultColWidth="11.5" defaultRowHeight="17" customHeight="1"/>
  <cols>
    <col min="1" max="1" width="42.83203125" style="239" customWidth="1"/>
    <col min="2" max="2" width="10.5" style="240" customWidth="1"/>
    <col min="3" max="3" width="14.1640625" style="239" customWidth="1"/>
    <col min="4" max="4" width="17.83203125" style="239" customWidth="1"/>
    <col min="5" max="5" width="11" style="239" customWidth="1"/>
    <col min="6" max="6" width="14" style="239" customWidth="1"/>
    <col min="7" max="16384" width="11.5" style="239"/>
  </cols>
  <sheetData>
    <row r="1" spans="1:12" ht="17" hidden="1" customHeight="1"/>
    <row r="2" spans="1:12" ht="17" customHeight="1" thickBot="1"/>
    <row r="3" spans="1:12" ht="17" customHeight="1" thickBot="1">
      <c r="A3" s="1126" t="s">
        <v>366</v>
      </c>
      <c r="B3" s="1127"/>
      <c r="C3" s="1127"/>
      <c r="D3" s="1128"/>
      <c r="E3" s="241" t="s">
        <v>369</v>
      </c>
    </row>
    <row r="4" spans="1:12" ht="17" customHeight="1" thickBot="1">
      <c r="A4" s="1129"/>
      <c r="B4" s="1130"/>
      <c r="C4" s="1130"/>
      <c r="D4" s="1131"/>
      <c r="E4" s="185"/>
      <c r="F4" s="186"/>
      <c r="G4" s="242" t="s">
        <v>367</v>
      </c>
      <c r="H4" s="187"/>
      <c r="I4" s="187"/>
      <c r="J4" s="187"/>
      <c r="K4" s="187"/>
      <c r="L4" s="187"/>
    </row>
    <row r="5" spans="1:12" ht="14" hidden="1" thickBot="1">
      <c r="A5" s="243"/>
      <c r="C5" s="240"/>
      <c r="D5" s="244"/>
      <c r="E5" s="245"/>
      <c r="F5" s="246" t="s">
        <v>31</v>
      </c>
      <c r="G5" s="247" t="s">
        <v>368</v>
      </c>
      <c r="H5" s="187"/>
      <c r="I5" s="187"/>
      <c r="J5" s="187"/>
      <c r="K5" s="187"/>
      <c r="L5" s="187"/>
    </row>
    <row r="6" spans="1:12" ht="17" hidden="1" customHeight="1" thickBot="1">
      <c r="A6" s="1123"/>
      <c r="B6" s="1124"/>
      <c r="C6" s="1124"/>
      <c r="D6" s="1125"/>
    </row>
    <row r="7" spans="1:12" ht="17" customHeight="1" thickBot="1">
      <c r="A7" s="1133" t="s">
        <v>313</v>
      </c>
      <c r="B7" s="1134"/>
      <c r="C7" s="1134"/>
      <c r="D7" s="1135"/>
    </row>
    <row r="8" spans="1:12" ht="17" hidden="1" customHeight="1">
      <c r="A8" s="248"/>
      <c r="B8" s="249"/>
      <c r="C8" s="249"/>
      <c r="D8" s="250"/>
      <c r="E8" s="251"/>
    </row>
    <row r="9" spans="1:12" ht="32.25" customHeight="1" thickBot="1">
      <c r="A9" s="290" t="s">
        <v>1</v>
      </c>
      <c r="B9" s="291" t="s">
        <v>34</v>
      </c>
      <c r="C9" s="293" t="s">
        <v>470</v>
      </c>
      <c r="D9" s="292" t="s">
        <v>35</v>
      </c>
      <c r="E9" s="251"/>
    </row>
    <row r="10" spans="1:12" ht="17" hidden="1" customHeight="1">
      <c r="A10" s="188"/>
      <c r="B10" s="189"/>
      <c r="C10" s="189"/>
      <c r="D10" s="190"/>
      <c r="E10" s="251"/>
    </row>
    <row r="11" spans="1:12" ht="17" customHeight="1" thickBot="1">
      <c r="A11" s="191" t="s">
        <v>190</v>
      </c>
      <c r="B11" s="192"/>
      <c r="C11" s="193"/>
      <c r="D11" s="194"/>
      <c r="E11" s="251"/>
      <c r="F11" s="195"/>
      <c r="G11" s="196"/>
    </row>
    <row r="12" spans="1:12" ht="17" customHeight="1" thickBot="1">
      <c r="A12" s="1113"/>
      <c r="B12" s="1114"/>
      <c r="C12" s="1115"/>
      <c r="D12" s="199"/>
      <c r="E12" s="251"/>
      <c r="F12" s="195"/>
      <c r="G12" s="200"/>
    </row>
    <row r="13" spans="1:12" ht="17" customHeight="1" thickBot="1">
      <c r="A13" s="1113"/>
      <c r="B13" s="1114"/>
      <c r="C13" s="1115"/>
      <c r="D13" s="199">
        <f>B13*C13</f>
        <v>0</v>
      </c>
      <c r="E13" s="251"/>
      <c r="F13" s="195"/>
      <c r="G13" s="200"/>
    </row>
    <row r="14" spans="1:12" ht="17" customHeight="1" thickBot="1">
      <c r="A14" s="1113"/>
      <c r="B14" s="1114"/>
      <c r="C14" s="1115"/>
      <c r="D14" s="199">
        <f>B14*C14</f>
        <v>0</v>
      </c>
      <c r="E14" s="251"/>
      <c r="F14" s="195"/>
      <c r="G14" s="200"/>
    </row>
    <row r="15" spans="1:12" ht="17" customHeight="1">
      <c r="A15" s="1136" t="s">
        <v>261</v>
      </c>
      <c r="B15" s="1137"/>
      <c r="C15" s="1138"/>
      <c r="D15" s="201">
        <f>SUM(D12:D12)</f>
        <v>0</v>
      </c>
      <c r="E15" s="251"/>
      <c r="F15" s="195"/>
      <c r="G15" s="200"/>
    </row>
    <row r="16" spans="1:12" ht="17" hidden="1" customHeight="1">
      <c r="A16" s="202"/>
      <c r="B16" s="192"/>
      <c r="C16" s="200"/>
      <c r="D16" s="203"/>
      <c r="E16" s="251"/>
      <c r="F16" s="195"/>
      <c r="G16" s="200"/>
    </row>
    <row r="17" spans="1:7" ht="17" customHeight="1" thickBot="1">
      <c r="A17" s="204" t="s">
        <v>292</v>
      </c>
      <c r="B17" s="192"/>
      <c r="C17" s="200"/>
      <c r="D17" s="203"/>
      <c r="E17" s="251"/>
      <c r="F17" s="195"/>
      <c r="G17" s="200"/>
    </row>
    <row r="18" spans="1:7" ht="17" customHeight="1">
      <c r="A18" s="205" t="s">
        <v>489</v>
      </c>
      <c r="B18" s="206">
        <v>1</v>
      </c>
      <c r="C18" s="207">
        <v>36000</v>
      </c>
      <c r="D18" s="208">
        <f>B18*C18</f>
        <v>36000</v>
      </c>
      <c r="E18" s="251"/>
      <c r="F18" s="195"/>
      <c r="G18" s="200"/>
    </row>
    <row r="19" spans="1:7" ht="17" customHeight="1" thickBot="1">
      <c r="A19" s="209" t="s">
        <v>492</v>
      </c>
      <c r="B19" s="210">
        <v>2</v>
      </c>
      <c r="C19" s="211">
        <v>11000</v>
      </c>
      <c r="D19" s="212">
        <f>B19*C19</f>
        <v>22000</v>
      </c>
      <c r="E19" s="251"/>
      <c r="F19" s="195"/>
      <c r="G19" s="200"/>
    </row>
    <row r="20" spans="1:7" ht="17" customHeight="1" thickBot="1">
      <c r="A20" s="205" t="s">
        <v>490</v>
      </c>
      <c r="B20" s="210">
        <v>1</v>
      </c>
      <c r="C20" s="211">
        <v>46000</v>
      </c>
      <c r="D20" s="212">
        <f>B20*C20</f>
        <v>46000</v>
      </c>
      <c r="E20" s="251"/>
      <c r="F20" s="195"/>
      <c r="G20" s="200"/>
    </row>
    <row r="21" spans="1:7" ht="17" customHeight="1">
      <c r="A21" s="205"/>
      <c r="B21" s="210"/>
      <c r="C21" s="211"/>
      <c r="D21" s="212"/>
      <c r="E21" s="251"/>
      <c r="F21" s="195"/>
      <c r="G21" s="200"/>
    </row>
    <row r="22" spans="1:7" ht="17" customHeight="1" thickBot="1">
      <c r="A22" s="213"/>
      <c r="B22" s="214">
        <v>0</v>
      </c>
      <c r="C22" s="215">
        <v>0</v>
      </c>
      <c r="D22" s="216">
        <f>B22*C22</f>
        <v>0</v>
      </c>
      <c r="E22" s="251"/>
      <c r="F22" s="195"/>
      <c r="G22" s="200"/>
    </row>
    <row r="23" spans="1:7" ht="17" customHeight="1">
      <c r="A23" s="1136" t="s">
        <v>261</v>
      </c>
      <c r="B23" s="1137"/>
      <c r="C23" s="1138"/>
      <c r="D23" s="201">
        <f>SUM(D18:D22)</f>
        <v>104000</v>
      </c>
      <c r="E23" s="251"/>
      <c r="F23" s="217"/>
      <c r="G23" s="200"/>
    </row>
    <row r="24" spans="1:7" ht="17" hidden="1" customHeight="1">
      <c r="A24" s="218"/>
      <c r="B24" s="192"/>
      <c r="C24" s="219"/>
      <c r="D24" s="220"/>
      <c r="E24" s="251"/>
      <c r="F24" s="217"/>
      <c r="G24" s="200"/>
    </row>
    <row r="25" spans="1:7" ht="17" customHeight="1">
      <c r="A25" s="204" t="s">
        <v>293</v>
      </c>
      <c r="B25" s="192"/>
      <c r="C25" s="219"/>
      <c r="D25" s="220"/>
      <c r="E25" s="251"/>
      <c r="F25" s="217"/>
      <c r="G25" s="200"/>
    </row>
    <row r="26" spans="1:7" ht="17" customHeight="1">
      <c r="A26" s="1111" t="s">
        <v>487</v>
      </c>
      <c r="B26" s="210">
        <v>1</v>
      </c>
      <c r="C26" s="211">
        <v>4500</v>
      </c>
      <c r="D26" s="1112">
        <f>B26*C26</f>
        <v>4500</v>
      </c>
      <c r="E26" s="251"/>
      <c r="F26" s="217"/>
      <c r="G26" s="200"/>
    </row>
    <row r="27" spans="1:7" ht="17" customHeight="1">
      <c r="A27" s="1111" t="s">
        <v>491</v>
      </c>
      <c r="B27" s="210">
        <v>4</v>
      </c>
      <c r="C27" s="211">
        <v>4300</v>
      </c>
      <c r="D27" s="1112">
        <f t="shared" ref="D27:D35" si="0">B27*C27</f>
        <v>17200</v>
      </c>
      <c r="E27" s="251"/>
      <c r="F27" s="217"/>
      <c r="G27" s="200"/>
    </row>
    <row r="28" spans="1:7" ht="17" customHeight="1">
      <c r="A28" s="1111" t="s">
        <v>495</v>
      </c>
      <c r="B28" s="210">
        <v>1</v>
      </c>
      <c r="C28" s="211">
        <v>2000</v>
      </c>
      <c r="D28" s="1112">
        <f t="shared" si="0"/>
        <v>2000</v>
      </c>
      <c r="E28" s="251"/>
      <c r="F28" s="217"/>
      <c r="G28" s="200"/>
    </row>
    <row r="29" spans="1:7" ht="17" customHeight="1">
      <c r="A29" s="1111"/>
      <c r="B29" s="210">
        <v>0</v>
      </c>
      <c r="C29" s="211">
        <v>0</v>
      </c>
      <c r="D29" s="1112">
        <f t="shared" si="0"/>
        <v>0</v>
      </c>
      <c r="E29" s="251"/>
      <c r="F29" s="217"/>
      <c r="G29" s="200"/>
    </row>
    <row r="30" spans="1:7" ht="17" customHeight="1">
      <c r="A30" s="1111"/>
      <c r="B30" s="210">
        <v>0</v>
      </c>
      <c r="C30" s="211">
        <v>0</v>
      </c>
      <c r="D30" s="1112">
        <f t="shared" si="0"/>
        <v>0</v>
      </c>
      <c r="E30" s="251"/>
      <c r="F30" s="217"/>
      <c r="G30" s="200"/>
    </row>
    <row r="31" spans="1:7" ht="17" customHeight="1">
      <c r="A31" s="1111"/>
      <c r="B31" s="210">
        <v>0</v>
      </c>
      <c r="C31" s="211">
        <v>0</v>
      </c>
      <c r="D31" s="1112">
        <f t="shared" si="0"/>
        <v>0</v>
      </c>
      <c r="E31" s="251"/>
      <c r="F31" s="217"/>
      <c r="G31" s="200"/>
    </row>
    <row r="32" spans="1:7" ht="17" customHeight="1">
      <c r="A32" s="1111"/>
      <c r="B32" s="210">
        <v>0</v>
      </c>
      <c r="C32" s="211">
        <v>0</v>
      </c>
      <c r="D32" s="1112">
        <f t="shared" si="0"/>
        <v>0</v>
      </c>
      <c r="E32" s="251"/>
      <c r="F32" s="217"/>
      <c r="G32" s="200"/>
    </row>
    <row r="33" spans="1:7" ht="17" customHeight="1">
      <c r="A33" s="1111"/>
      <c r="B33" s="210">
        <v>0</v>
      </c>
      <c r="C33" s="211">
        <v>0</v>
      </c>
      <c r="D33" s="1112">
        <f t="shared" si="0"/>
        <v>0</v>
      </c>
      <c r="E33" s="251"/>
      <c r="F33" s="217"/>
      <c r="G33" s="200"/>
    </row>
    <row r="34" spans="1:7" ht="17" customHeight="1">
      <c r="A34" s="1111"/>
      <c r="B34" s="210">
        <v>0</v>
      </c>
      <c r="C34" s="211">
        <v>0</v>
      </c>
      <c r="D34" s="1112">
        <f t="shared" si="0"/>
        <v>0</v>
      </c>
      <c r="E34" s="251"/>
      <c r="F34" s="217"/>
      <c r="G34" s="200"/>
    </row>
    <row r="35" spans="1:7" ht="17" customHeight="1">
      <c r="A35" s="1111"/>
      <c r="B35" s="210">
        <v>0</v>
      </c>
      <c r="C35" s="211">
        <v>0</v>
      </c>
      <c r="D35" s="1112">
        <f t="shared" si="0"/>
        <v>0</v>
      </c>
      <c r="E35" s="251"/>
      <c r="F35" s="217"/>
      <c r="G35" s="200"/>
    </row>
    <row r="36" spans="1:7" ht="17" customHeight="1">
      <c r="A36" s="1136" t="s">
        <v>261</v>
      </c>
      <c r="B36" s="1137"/>
      <c r="C36" s="1138"/>
      <c r="D36" s="201">
        <f>SUM(D26:D35)</f>
        <v>23700</v>
      </c>
      <c r="E36" s="251"/>
      <c r="F36" s="223"/>
      <c r="G36" s="200"/>
    </row>
    <row r="37" spans="1:7" ht="17" customHeight="1" thickBot="1">
      <c r="A37" s="191" t="s">
        <v>288</v>
      </c>
      <c r="B37" s="192"/>
      <c r="C37" s="224"/>
      <c r="D37" s="225"/>
      <c r="E37" s="251"/>
      <c r="F37" s="195"/>
      <c r="G37" s="200"/>
    </row>
    <row r="38" spans="1:7" ht="17" customHeight="1" thickBot="1">
      <c r="A38" s="197" t="s">
        <v>510</v>
      </c>
      <c r="B38" s="198">
        <v>1</v>
      </c>
      <c r="C38" s="226">
        <v>6500000</v>
      </c>
      <c r="D38" s="199">
        <f>B38*C38</f>
        <v>6500000</v>
      </c>
    </row>
    <row r="39" spans="1:7" ht="17" customHeight="1">
      <c r="A39" s="1136" t="s">
        <v>261</v>
      </c>
      <c r="B39" s="1137"/>
      <c r="C39" s="1138"/>
      <c r="D39" s="201">
        <f>SUM(D38)</f>
        <v>6500000</v>
      </c>
    </row>
    <row r="40" spans="1:7" ht="17" hidden="1" customHeight="1">
      <c r="A40" s="202"/>
      <c r="B40" s="192"/>
      <c r="C40" s="219"/>
      <c r="D40" s="227"/>
    </row>
    <row r="41" spans="1:7" ht="17" customHeight="1" thickBot="1">
      <c r="A41" s="204" t="s">
        <v>295</v>
      </c>
      <c r="B41" s="192"/>
      <c r="C41" s="219"/>
      <c r="D41" s="227"/>
    </row>
    <row r="42" spans="1:7" ht="17" customHeight="1" thickBot="1">
      <c r="A42" s="228"/>
      <c r="B42" s="229"/>
      <c r="C42" s="230"/>
      <c r="D42" s="199">
        <f>B42*C42</f>
        <v>0</v>
      </c>
    </row>
    <row r="43" spans="1:7" ht="17" customHeight="1">
      <c r="A43" s="1136" t="s">
        <v>261</v>
      </c>
      <c r="B43" s="1137"/>
      <c r="C43" s="1138"/>
      <c r="D43" s="201">
        <f>SUM(D42:D42)</f>
        <v>0</v>
      </c>
    </row>
    <row r="44" spans="1:7" ht="17" hidden="1" customHeight="1">
      <c r="A44" s="202"/>
      <c r="B44" s="192"/>
      <c r="C44" s="219"/>
      <c r="D44" s="199"/>
    </row>
    <row r="45" spans="1:7" ht="17" customHeight="1" thickBot="1">
      <c r="A45" s="191" t="s">
        <v>260</v>
      </c>
      <c r="B45" s="192"/>
      <c r="C45" s="224"/>
      <c r="D45" s="225"/>
      <c r="G45" s="252"/>
    </row>
    <row r="46" spans="1:7" ht="17" customHeight="1">
      <c r="A46" s="205" t="s">
        <v>315</v>
      </c>
      <c r="B46" s="206">
        <v>3</v>
      </c>
      <c r="C46" s="231">
        <f>'Pres. Costos Fijos año 1'!B21</f>
        <v>106193.04571433777</v>
      </c>
      <c r="D46" s="221">
        <f>B46*C46</f>
        <v>318579.1371430133</v>
      </c>
    </row>
    <row r="47" spans="1:7" ht="17" customHeight="1">
      <c r="A47" s="209"/>
      <c r="B47" s="210"/>
      <c r="C47" s="232"/>
      <c r="D47" s="233"/>
    </row>
    <row r="48" spans="1:7" ht="17" customHeight="1" thickBot="1">
      <c r="A48" s="213"/>
      <c r="B48" s="214"/>
      <c r="C48" s="234"/>
      <c r="D48" s="222">
        <f>B48*C48</f>
        <v>0</v>
      </c>
    </row>
    <row r="49" spans="1:8" ht="17" customHeight="1">
      <c r="A49" s="1136" t="s">
        <v>261</v>
      </c>
      <c r="B49" s="1137"/>
      <c r="C49" s="1138"/>
      <c r="D49" s="201">
        <f>SUM(D46:D48)</f>
        <v>318579.1371430133</v>
      </c>
    </row>
    <row r="50" spans="1:8" ht="17" customHeight="1" thickBot="1">
      <c r="A50" s="204" t="s">
        <v>328</v>
      </c>
      <c r="B50" s="235"/>
      <c r="C50" s="224"/>
      <c r="D50" s="227"/>
    </row>
    <row r="51" spans="1:8" ht="17" customHeight="1">
      <c r="A51" s="236" t="s">
        <v>468</v>
      </c>
      <c r="B51" s="210">
        <v>1</v>
      </c>
      <c r="C51" s="232">
        <v>3194</v>
      </c>
      <c r="D51" s="221">
        <f t="shared" ref="D51:D56" si="1">B51*C51</f>
        <v>3194</v>
      </c>
    </row>
    <row r="52" spans="1:8" ht="17" customHeight="1" thickBot="1">
      <c r="A52" s="237" t="s">
        <v>469</v>
      </c>
      <c r="B52" s="214">
        <v>1</v>
      </c>
      <c r="C52" s="234">
        <v>8000</v>
      </c>
      <c r="D52" s="233">
        <f t="shared" si="1"/>
        <v>8000</v>
      </c>
    </row>
    <row r="53" spans="1:8" ht="17" customHeight="1">
      <c r="A53" s="209" t="s">
        <v>497</v>
      </c>
      <c r="B53" s="210">
        <v>1</v>
      </c>
      <c r="C53" s="232">
        <v>1000</v>
      </c>
      <c r="D53" s="233">
        <f>B53*C53</f>
        <v>1000</v>
      </c>
    </row>
    <row r="54" spans="1:8" ht="17" customHeight="1" thickBot="1">
      <c r="A54" s="237" t="s">
        <v>496</v>
      </c>
      <c r="B54" s="214">
        <v>1</v>
      </c>
      <c r="C54" s="232">
        <v>2000</v>
      </c>
      <c r="D54" s="233">
        <f>B54*C54</f>
        <v>2000</v>
      </c>
    </row>
    <row r="55" spans="1:8" ht="17" customHeight="1">
      <c r="A55" s="236" t="s">
        <v>508</v>
      </c>
      <c r="B55" s="210">
        <v>1</v>
      </c>
      <c r="C55" s="232">
        <v>15000</v>
      </c>
      <c r="D55" s="233">
        <f t="shared" si="1"/>
        <v>15000</v>
      </c>
    </row>
    <row r="56" spans="1:8" ht="17" customHeight="1" thickBot="1">
      <c r="A56" s="237"/>
      <c r="B56" s="214"/>
      <c r="C56" s="234"/>
      <c r="D56" s="222">
        <f t="shared" si="1"/>
        <v>0</v>
      </c>
    </row>
    <row r="57" spans="1:8" ht="17" customHeight="1">
      <c r="A57" s="1136" t="s">
        <v>261</v>
      </c>
      <c r="B57" s="1137"/>
      <c r="C57" s="1138"/>
      <c r="D57" s="201">
        <f>SUM(D51:D56)</f>
        <v>29194</v>
      </c>
    </row>
    <row r="58" spans="1:8" ht="17" customHeight="1">
      <c r="A58" s="253"/>
      <c r="B58" s="239"/>
      <c r="D58" s="254"/>
      <c r="E58" s="255"/>
    </row>
    <row r="59" spans="1:8" ht="17" customHeight="1" thickBot="1">
      <c r="A59" s="1139" t="s">
        <v>370</v>
      </c>
      <c r="B59" s="1140"/>
      <c r="C59" s="1141"/>
      <c r="D59" s="238">
        <f>D15+D23+D36+D39+D43+D49+D57</f>
        <v>6975473.1371430131</v>
      </c>
    </row>
    <row r="60" spans="1:8" ht="17" customHeight="1">
      <c r="A60" s="256"/>
      <c r="B60" s="257"/>
      <c r="C60" s="258"/>
      <c r="D60" s="259"/>
    </row>
    <row r="61" spans="1:8" ht="17" customHeight="1" thickBot="1">
      <c r="A61" s="256"/>
      <c r="B61" s="260"/>
      <c r="D61" s="261"/>
      <c r="H61" s="262"/>
    </row>
    <row r="62" spans="1:8" ht="29" customHeight="1" thickBot="1">
      <c r="A62" s="1119" t="s">
        <v>314</v>
      </c>
      <c r="B62" s="1120"/>
      <c r="C62" s="1120"/>
      <c r="D62" s="1121"/>
      <c r="F62" s="1117" t="s">
        <v>486</v>
      </c>
    </row>
    <row r="63" spans="1:8" ht="17" customHeight="1">
      <c r="A63" s="263"/>
      <c r="B63" s="264"/>
      <c r="C63" s="265"/>
      <c r="D63" s="266"/>
    </row>
    <row r="64" spans="1:8" ht="17" customHeight="1">
      <c r="A64" s="282" t="s">
        <v>317</v>
      </c>
      <c r="B64" s="1132"/>
      <c r="C64" s="1132"/>
      <c r="D64" s="283">
        <f>B64/$B$66</f>
        <v>0</v>
      </c>
    </row>
    <row r="65" spans="1:7" ht="17" customHeight="1">
      <c r="A65" s="282" t="s">
        <v>191</v>
      </c>
      <c r="B65" s="1132">
        <f>D59</f>
        <v>6975473.1371430131</v>
      </c>
      <c r="C65" s="1132"/>
      <c r="D65" s="283">
        <f>B65/$B$66</f>
        <v>1</v>
      </c>
    </row>
    <row r="66" spans="1:7" ht="17" customHeight="1" thickBot="1">
      <c r="A66" s="284" t="s">
        <v>35</v>
      </c>
      <c r="B66" s="1122">
        <f>SUM(B64:C65)</f>
        <v>6975473.1371430131</v>
      </c>
      <c r="C66" s="1122"/>
      <c r="D66" s="285">
        <f>B66/$B$66</f>
        <v>1</v>
      </c>
      <c r="G66" s="268"/>
    </row>
    <row r="67" spans="1:7" ht="17" customHeight="1" thickBot="1">
      <c r="A67" s="262"/>
      <c r="B67" s="235"/>
      <c r="C67" s="269"/>
      <c r="D67" s="262"/>
      <c r="G67" s="268"/>
    </row>
    <row r="68" spans="1:7" ht="31.5" customHeight="1" thickBot="1">
      <c r="A68" s="1119" t="s">
        <v>444</v>
      </c>
      <c r="B68" s="1120"/>
      <c r="C68" s="1120"/>
      <c r="D68" s="1121"/>
      <c r="G68" s="268"/>
    </row>
    <row r="69" spans="1:7" ht="18" customHeight="1">
      <c r="A69" s="253"/>
      <c r="B69" s="239"/>
      <c r="C69" s="277" t="s">
        <v>402</v>
      </c>
      <c r="D69" s="270"/>
      <c r="G69" s="268"/>
    </row>
    <row r="70" spans="1:7" ht="17" customHeight="1">
      <c r="A70" s="236" t="s">
        <v>493</v>
      </c>
      <c r="B70" s="210">
        <v>1</v>
      </c>
      <c r="C70" s="279">
        <v>0.5</v>
      </c>
      <c r="D70" s="233">
        <f>$B$65*C70</f>
        <v>3487736.5685715065</v>
      </c>
      <c r="G70" s="268"/>
    </row>
    <row r="71" spans="1:7" ht="17" customHeight="1" thickBot="1">
      <c r="A71" s="237" t="s">
        <v>494</v>
      </c>
      <c r="B71" s="214">
        <v>1</v>
      </c>
      <c r="C71" s="280">
        <v>0.5</v>
      </c>
      <c r="D71" s="222">
        <f>$B$65*C71</f>
        <v>3487736.5685715065</v>
      </c>
      <c r="G71" s="268"/>
    </row>
    <row r="72" spans="1:7" ht="17" hidden="1" customHeight="1">
      <c r="A72" s="286" t="s">
        <v>461</v>
      </c>
      <c r="B72" s="287"/>
      <c r="C72" s="288"/>
      <c r="D72" s="289">
        <f>$B$65*C72</f>
        <v>0</v>
      </c>
      <c r="G72" s="268"/>
    </row>
    <row r="73" spans="1:7" ht="17" hidden="1" customHeight="1" thickBot="1">
      <c r="A73" s="237" t="s">
        <v>462</v>
      </c>
      <c r="B73" s="271"/>
      <c r="C73" s="280"/>
      <c r="D73" s="222">
        <f>$B$65*C73</f>
        <v>0</v>
      </c>
      <c r="G73" s="268"/>
    </row>
    <row r="74" spans="1:7" ht="17" customHeight="1" thickBot="1">
      <c r="A74" s="262"/>
      <c r="B74" s="235"/>
      <c r="C74" s="269"/>
      <c r="D74" s="262"/>
    </row>
    <row r="75" spans="1:7" ht="25.5" customHeight="1" thickBot="1">
      <c r="A75" s="272" t="s">
        <v>443</v>
      </c>
      <c r="B75" s="273">
        <v>2</v>
      </c>
      <c r="C75" s="274">
        <f>SUM(C70:C73)</f>
        <v>1</v>
      </c>
      <c r="D75" s="275">
        <f>SUM(D70:D73)</f>
        <v>6975473.1371430131</v>
      </c>
    </row>
    <row r="76" spans="1:7" ht="17" customHeight="1">
      <c r="A76" s="262"/>
      <c r="B76" s="235"/>
      <c r="C76" s="262"/>
      <c r="D76" s="276"/>
    </row>
    <row r="77" spans="1:7" ht="17" customHeight="1">
      <c r="A77" s="262"/>
      <c r="B77" s="235"/>
      <c r="C77" s="262"/>
      <c r="D77" s="262"/>
    </row>
    <row r="78" spans="1:7" ht="17" customHeight="1">
      <c r="A78" s="262"/>
      <c r="B78" s="235"/>
      <c r="C78" s="262"/>
      <c r="D78" s="262"/>
    </row>
    <row r="79" spans="1:7" ht="17" customHeight="1">
      <c r="A79" s="262"/>
      <c r="B79" s="235"/>
      <c r="C79" s="262"/>
      <c r="D79" s="262"/>
    </row>
    <row r="80" spans="1:7" ht="17" customHeight="1">
      <c r="A80" s="262"/>
      <c r="B80" s="235"/>
      <c r="C80" s="262"/>
      <c r="D80" s="262"/>
    </row>
    <row r="81" spans="1:4" ht="17" customHeight="1">
      <c r="A81" s="262"/>
      <c r="B81" s="235"/>
      <c r="C81" s="262"/>
      <c r="D81" s="262"/>
    </row>
    <row r="82" spans="1:4" ht="17" customHeight="1">
      <c r="A82" s="262"/>
      <c r="B82" s="235"/>
      <c r="C82" s="262"/>
      <c r="D82" s="262"/>
    </row>
    <row r="83" spans="1:4" ht="17" customHeight="1">
      <c r="A83" s="262"/>
      <c r="B83" s="235"/>
      <c r="C83" s="262"/>
      <c r="D83" s="262"/>
    </row>
    <row r="84" spans="1:4" ht="17" customHeight="1">
      <c r="A84" s="262"/>
      <c r="B84" s="235"/>
      <c r="C84" s="262"/>
      <c r="D84" s="262"/>
    </row>
    <row r="85" spans="1:4" ht="17" customHeight="1">
      <c r="A85" s="262"/>
      <c r="B85" s="235"/>
      <c r="C85" s="262"/>
      <c r="D85" s="262"/>
    </row>
    <row r="86" spans="1:4" ht="17" customHeight="1">
      <c r="A86" s="262"/>
      <c r="B86" s="235"/>
      <c r="C86" s="262"/>
      <c r="D86" s="262"/>
    </row>
    <row r="87" spans="1:4" ht="17" customHeight="1">
      <c r="A87" s="262"/>
      <c r="B87" s="235"/>
      <c r="C87" s="262"/>
      <c r="D87" s="262"/>
    </row>
    <row r="88" spans="1:4" ht="17" customHeight="1">
      <c r="A88" s="262"/>
      <c r="B88" s="235"/>
      <c r="C88" s="262"/>
      <c r="D88" s="262"/>
    </row>
    <row r="89" spans="1:4" ht="17" customHeight="1">
      <c r="A89" s="262"/>
      <c r="B89" s="235"/>
      <c r="C89" s="262"/>
      <c r="D89" s="262"/>
    </row>
    <row r="90" spans="1:4" ht="17" customHeight="1">
      <c r="A90" s="262"/>
      <c r="B90" s="235"/>
      <c r="C90" s="262"/>
      <c r="D90" s="262"/>
    </row>
    <row r="91" spans="1:4" ht="17" customHeight="1">
      <c r="A91" s="262"/>
      <c r="B91" s="235"/>
      <c r="C91" s="262"/>
      <c r="D91" s="262"/>
    </row>
    <row r="92" spans="1:4" ht="17" customHeight="1">
      <c r="A92" s="262"/>
      <c r="B92" s="235"/>
      <c r="C92" s="262"/>
      <c r="D92" s="262"/>
    </row>
    <row r="93" spans="1:4" ht="15.5" customHeight="1"/>
  </sheetData>
  <mergeCells count="16">
    <mergeCell ref="A68:D68"/>
    <mergeCell ref="B66:C66"/>
    <mergeCell ref="A6:D6"/>
    <mergeCell ref="A62:D62"/>
    <mergeCell ref="A3:D4"/>
    <mergeCell ref="B64:C64"/>
    <mergeCell ref="B65:C65"/>
    <mergeCell ref="A7:D7"/>
    <mergeCell ref="A15:C15"/>
    <mergeCell ref="A23:C23"/>
    <mergeCell ref="A59:C59"/>
    <mergeCell ref="A36:C36"/>
    <mergeCell ref="A39:C39"/>
    <mergeCell ref="A43:C43"/>
    <mergeCell ref="A49:C49"/>
    <mergeCell ref="A57:C57"/>
  </mergeCells>
  <phoneticPr fontId="0" type="noConversion"/>
  <printOptions horizontalCentered="1" verticalCentered="1"/>
  <pageMargins left="0.47244094488188981" right="0.35433070866141736" top="0.51181102362204722" bottom="1.1417322834645669" header="7.874015748031496E-2" footer="0"/>
  <pageSetup scale="105" orientation="portrait" horizontalDpi="4294967294" verticalDpi="4294967294" r:id="rId1"/>
  <headerFooter alignWithMargins="0"/>
  <rowBreaks count="1" manualBreakCount="1">
    <brk id="73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23"/>
  <sheetViews>
    <sheetView workbookViewId="0">
      <selection activeCell="G12" sqref="G12"/>
    </sheetView>
  </sheetViews>
  <sheetFormatPr baseColWidth="10" defaultColWidth="11" defaultRowHeight="13"/>
  <cols>
    <col min="1" max="1" width="3.5" style="187" customWidth="1"/>
    <col min="2" max="2" width="15.1640625" style="187" customWidth="1"/>
    <col min="3" max="3" width="13.83203125" style="187" customWidth="1"/>
    <col min="4" max="7" width="11" style="187"/>
    <col min="8" max="8" width="12.83203125" style="187" customWidth="1"/>
    <col min="9" max="16384" width="11" style="187"/>
  </cols>
  <sheetData>
    <row r="1" spans="1:16" ht="14" thickBot="1"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14" thickBot="1">
      <c r="B2" s="503"/>
      <c r="C2" s="504" t="s">
        <v>346</v>
      </c>
      <c r="D2" s="505">
        <f>INVERSION!D47</f>
        <v>0</v>
      </c>
      <c r="E2" s="305"/>
      <c r="F2" s="305"/>
      <c r="G2" s="1234" t="s">
        <v>117</v>
      </c>
      <c r="H2" s="1235"/>
      <c r="I2" s="1236"/>
      <c r="J2" s="305"/>
      <c r="K2" s="305"/>
      <c r="L2" s="305"/>
      <c r="M2" s="305"/>
      <c r="N2" s="305"/>
      <c r="O2" s="305"/>
      <c r="P2" s="305"/>
    </row>
    <row r="3" spans="1:16" ht="14" thickBot="1">
      <c r="B3" s="503"/>
      <c r="C3" s="503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</row>
    <row r="4" spans="1:16">
      <c r="B4" s="506"/>
      <c r="C4" s="520"/>
      <c r="D4" s="1237" t="s">
        <v>118</v>
      </c>
      <c r="E4" s="1238"/>
      <c r="F4" s="1238"/>
      <c r="G4" s="1238"/>
      <c r="H4" s="1238"/>
      <c r="I4" s="1238"/>
      <c r="J4" s="1238"/>
      <c r="K4" s="1238"/>
      <c r="L4" s="1238"/>
      <c r="M4" s="1238"/>
      <c r="N4" s="1238"/>
      <c r="O4" s="1239"/>
      <c r="P4" s="305"/>
    </row>
    <row r="5" spans="1:16">
      <c r="B5" s="507"/>
      <c r="C5" s="521" t="s">
        <v>8</v>
      </c>
      <c r="D5" s="519" t="s">
        <v>119</v>
      </c>
      <c r="E5" s="519" t="s">
        <v>120</v>
      </c>
      <c r="F5" s="519" t="s">
        <v>121</v>
      </c>
      <c r="G5" s="519" t="s">
        <v>122</v>
      </c>
      <c r="H5" s="519" t="s">
        <v>123</v>
      </c>
      <c r="I5" s="519" t="s">
        <v>124</v>
      </c>
      <c r="J5" s="519" t="s">
        <v>125</v>
      </c>
      <c r="K5" s="519" t="s">
        <v>126</v>
      </c>
      <c r="L5" s="519" t="s">
        <v>127</v>
      </c>
      <c r="M5" s="519" t="s">
        <v>128</v>
      </c>
      <c r="N5" s="519" t="s">
        <v>129</v>
      </c>
      <c r="O5" s="519" t="s">
        <v>130</v>
      </c>
      <c r="P5" s="305"/>
    </row>
    <row r="6" spans="1:16">
      <c r="B6" s="514" t="s">
        <v>131</v>
      </c>
      <c r="C6" s="508">
        <v>0</v>
      </c>
      <c r="D6" s="508">
        <f>C10</f>
        <v>0</v>
      </c>
      <c r="E6" s="508">
        <f>D10</f>
        <v>0</v>
      </c>
      <c r="F6" s="508">
        <f t="shared" ref="F6:O6" si="0">E10</f>
        <v>0</v>
      </c>
      <c r="G6" s="508">
        <f t="shared" si="0"/>
        <v>0</v>
      </c>
      <c r="H6" s="508">
        <f t="shared" si="0"/>
        <v>0</v>
      </c>
      <c r="I6" s="508">
        <f t="shared" si="0"/>
        <v>0</v>
      </c>
      <c r="J6" s="508">
        <f t="shared" si="0"/>
        <v>0</v>
      </c>
      <c r="K6" s="508">
        <f t="shared" si="0"/>
        <v>0</v>
      </c>
      <c r="L6" s="508">
        <f t="shared" si="0"/>
        <v>0</v>
      </c>
      <c r="M6" s="508">
        <f t="shared" si="0"/>
        <v>0</v>
      </c>
      <c r="N6" s="508">
        <f t="shared" si="0"/>
        <v>0</v>
      </c>
      <c r="O6" s="508">
        <f t="shared" si="0"/>
        <v>0</v>
      </c>
      <c r="P6" s="305"/>
    </row>
    <row r="7" spans="1:16">
      <c r="B7" s="514" t="s">
        <v>16</v>
      </c>
      <c r="C7" s="509">
        <f>D2</f>
        <v>0</v>
      </c>
      <c r="D7" s="508">
        <f>'Pres. de compras año 1'!C42</f>
        <v>0</v>
      </c>
      <c r="E7" s="508">
        <f>'Pres. de compras año 1'!D42</f>
        <v>6750</v>
      </c>
      <c r="F7" s="508">
        <f>'Pres. de compras año 1'!E42</f>
        <v>14170</v>
      </c>
      <c r="G7" s="508">
        <f>'Pres. de compras año 1'!F42</f>
        <v>22105</v>
      </c>
      <c r="H7" s="508">
        <f>'Pres. de compras año 1'!G42</f>
        <v>1000</v>
      </c>
      <c r="I7" s="508">
        <f>'Pres. de compras año 1'!H42</f>
        <v>7420</v>
      </c>
      <c r="J7" s="508">
        <f>'Pres. de compras año 1'!I42</f>
        <v>10105</v>
      </c>
      <c r="K7" s="508">
        <f>'Pres. de compras año 1'!J42</f>
        <v>17420</v>
      </c>
      <c r="L7" s="508">
        <f>'Pres. de compras año 1'!K42</f>
        <v>10105</v>
      </c>
      <c r="M7" s="508">
        <f>'Pres. de compras año 1'!L42</f>
        <v>10000</v>
      </c>
      <c r="N7" s="508">
        <f>'Pres. de compras año 1'!M42</f>
        <v>140125</v>
      </c>
      <c r="O7" s="508" t="e">
        <f>'Pres. de compras año 1'!N42</f>
        <v>#REF!</v>
      </c>
      <c r="P7" s="305"/>
    </row>
    <row r="8" spans="1:16">
      <c r="B8" s="514" t="s">
        <v>132</v>
      </c>
      <c r="C8" s="509">
        <f>C6+C7</f>
        <v>0</v>
      </c>
      <c r="D8" s="508">
        <f>D6+D7</f>
        <v>0</v>
      </c>
      <c r="E8" s="508">
        <f>E6+E7</f>
        <v>6750</v>
      </c>
      <c r="F8" s="508">
        <f t="shared" ref="F8:O8" si="1">F6+F7</f>
        <v>14170</v>
      </c>
      <c r="G8" s="508">
        <f t="shared" si="1"/>
        <v>22105</v>
      </c>
      <c r="H8" s="508">
        <f t="shared" si="1"/>
        <v>1000</v>
      </c>
      <c r="I8" s="508">
        <f t="shared" si="1"/>
        <v>7420</v>
      </c>
      <c r="J8" s="508">
        <f t="shared" si="1"/>
        <v>10105</v>
      </c>
      <c r="K8" s="508">
        <f t="shared" si="1"/>
        <v>17420</v>
      </c>
      <c r="L8" s="508">
        <f t="shared" si="1"/>
        <v>10105</v>
      </c>
      <c r="M8" s="508">
        <f t="shared" si="1"/>
        <v>10000</v>
      </c>
      <c r="N8" s="508">
        <f t="shared" si="1"/>
        <v>140125</v>
      </c>
      <c r="O8" s="508" t="e">
        <f t="shared" si="1"/>
        <v>#REF!</v>
      </c>
      <c r="P8" s="305"/>
    </row>
    <row r="9" spans="1:16">
      <c r="B9" s="514" t="s">
        <v>133</v>
      </c>
      <c r="C9" s="509">
        <v>0</v>
      </c>
      <c r="D9" s="508">
        <f>D7</f>
        <v>0</v>
      </c>
      <c r="E9" s="508">
        <f>E7</f>
        <v>6750</v>
      </c>
      <c r="F9" s="508">
        <f t="shared" ref="F9:O9" si="2">F7</f>
        <v>14170</v>
      </c>
      <c r="G9" s="508">
        <f t="shared" si="2"/>
        <v>22105</v>
      </c>
      <c r="H9" s="508">
        <f t="shared" si="2"/>
        <v>1000</v>
      </c>
      <c r="I9" s="508">
        <f t="shared" si="2"/>
        <v>7420</v>
      </c>
      <c r="J9" s="508">
        <f t="shared" si="2"/>
        <v>10105</v>
      </c>
      <c r="K9" s="508">
        <f t="shared" si="2"/>
        <v>17420</v>
      </c>
      <c r="L9" s="508">
        <f t="shared" si="2"/>
        <v>10105</v>
      </c>
      <c r="M9" s="508">
        <f t="shared" si="2"/>
        <v>10000</v>
      </c>
      <c r="N9" s="508">
        <f t="shared" si="2"/>
        <v>140125</v>
      </c>
      <c r="O9" s="508" t="e">
        <f t="shared" si="2"/>
        <v>#REF!</v>
      </c>
      <c r="P9" s="305"/>
    </row>
    <row r="10" spans="1:16" ht="28.5" customHeight="1">
      <c r="B10" s="515" t="s">
        <v>343</v>
      </c>
      <c r="C10" s="516">
        <f t="shared" ref="C10:O10" si="3">C8-C9</f>
        <v>0</v>
      </c>
      <c r="D10" s="517">
        <f t="shared" si="3"/>
        <v>0</v>
      </c>
      <c r="E10" s="517">
        <f t="shared" si="3"/>
        <v>0</v>
      </c>
      <c r="F10" s="517">
        <f t="shared" si="3"/>
        <v>0</v>
      </c>
      <c r="G10" s="517">
        <f t="shared" si="3"/>
        <v>0</v>
      </c>
      <c r="H10" s="517">
        <f t="shared" si="3"/>
        <v>0</v>
      </c>
      <c r="I10" s="517">
        <f t="shared" si="3"/>
        <v>0</v>
      </c>
      <c r="J10" s="517">
        <f t="shared" si="3"/>
        <v>0</v>
      </c>
      <c r="K10" s="517">
        <f t="shared" si="3"/>
        <v>0</v>
      </c>
      <c r="L10" s="517">
        <f t="shared" si="3"/>
        <v>0</v>
      </c>
      <c r="M10" s="517">
        <f t="shared" si="3"/>
        <v>0</v>
      </c>
      <c r="N10" s="517">
        <f t="shared" si="3"/>
        <v>0</v>
      </c>
      <c r="O10" s="517" t="e">
        <f t="shared" si="3"/>
        <v>#REF!</v>
      </c>
      <c r="P10" s="305"/>
    </row>
    <row r="11" spans="1:16" ht="28.5" customHeight="1">
      <c r="A11" s="305"/>
      <c r="B11" s="510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305"/>
    </row>
    <row r="12" spans="1:16" ht="28.5" customHeight="1">
      <c r="A12" s="305"/>
      <c r="B12" s="510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1"/>
      <c r="P12" s="305"/>
    </row>
    <row r="13" spans="1:16">
      <c r="A13" s="305"/>
      <c r="B13" s="503"/>
      <c r="C13" s="503"/>
      <c r="D13" s="305"/>
      <c r="E13" s="305"/>
      <c r="F13" s="305"/>
      <c r="G13" s="305"/>
      <c r="H13" s="961"/>
      <c r="I13" s="305"/>
      <c r="J13" s="305"/>
      <c r="K13" s="305"/>
      <c r="L13" s="305"/>
      <c r="M13" s="305"/>
      <c r="N13" s="305"/>
      <c r="O13" s="305"/>
      <c r="P13" s="305"/>
    </row>
    <row r="14" spans="1:16" ht="14" thickBot="1">
      <c r="A14" s="305"/>
      <c r="B14" s="503"/>
      <c r="C14" s="503"/>
      <c r="D14" s="305"/>
      <c r="E14" s="305"/>
      <c r="F14" s="305"/>
      <c r="G14" s="401"/>
      <c r="H14" s="305"/>
      <c r="I14" s="495"/>
      <c r="J14" s="305"/>
      <c r="K14" s="305"/>
      <c r="L14" s="305"/>
      <c r="M14" s="305"/>
      <c r="N14" s="305"/>
      <c r="O14" s="305"/>
      <c r="P14" s="305"/>
    </row>
    <row r="15" spans="1:16" ht="14" thickBot="1">
      <c r="B15" s="503"/>
      <c r="C15" s="512" t="s">
        <v>345</v>
      </c>
      <c r="D15" s="513">
        <f>INVERSION!D48</f>
        <v>0</v>
      </c>
      <c r="F15" s="1234" t="s">
        <v>134</v>
      </c>
      <c r="G15" s="1235"/>
      <c r="H15" s="1235"/>
      <c r="I15" s="1235"/>
      <c r="J15" s="1236"/>
      <c r="K15" s="305"/>
      <c r="L15" s="305"/>
      <c r="M15" s="305"/>
      <c r="N15" s="305"/>
      <c r="O15" s="305"/>
      <c r="P15" s="305"/>
    </row>
    <row r="16" spans="1:16" ht="14" thickBot="1">
      <c r="B16" s="503"/>
      <c r="C16" s="512" t="s">
        <v>386</v>
      </c>
      <c r="D16" s="513">
        <f>D15</f>
        <v>0</v>
      </c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</row>
    <row r="17" spans="2:16">
      <c r="B17" s="506"/>
      <c r="C17" s="1240" t="s">
        <v>118</v>
      </c>
      <c r="D17" s="1241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518"/>
      <c r="P17" s="305"/>
    </row>
    <row r="18" spans="2:16">
      <c r="B18" s="507"/>
      <c r="C18" s="438" t="s">
        <v>8</v>
      </c>
      <c r="D18" s="519" t="s">
        <v>119</v>
      </c>
      <c r="E18" s="519" t="s">
        <v>120</v>
      </c>
      <c r="F18" s="519" t="s">
        <v>121</v>
      </c>
      <c r="G18" s="519" t="s">
        <v>122</v>
      </c>
      <c r="H18" s="519" t="s">
        <v>123</v>
      </c>
      <c r="I18" s="519" t="s">
        <v>124</v>
      </c>
      <c r="J18" s="519" t="s">
        <v>125</v>
      </c>
      <c r="K18" s="519" t="s">
        <v>126</v>
      </c>
      <c r="L18" s="519" t="s">
        <v>127</v>
      </c>
      <c r="M18" s="519" t="s">
        <v>128</v>
      </c>
      <c r="N18" s="519" t="s">
        <v>129</v>
      </c>
      <c r="O18" s="519" t="s">
        <v>130</v>
      </c>
      <c r="P18" s="305"/>
    </row>
    <row r="19" spans="2:16">
      <c r="B19" s="514" t="s">
        <v>135</v>
      </c>
      <c r="C19" s="508">
        <f>D15</f>
        <v>0</v>
      </c>
      <c r="D19" s="508">
        <f>C23</f>
        <v>0</v>
      </c>
      <c r="E19" s="508">
        <f>D23</f>
        <v>0</v>
      </c>
      <c r="F19" s="508">
        <f t="shared" ref="F19:N19" si="4">E23</f>
        <v>0</v>
      </c>
      <c r="G19" s="508">
        <f t="shared" si="4"/>
        <v>0</v>
      </c>
      <c r="H19" s="508">
        <f t="shared" si="4"/>
        <v>0</v>
      </c>
      <c r="I19" s="508">
        <f t="shared" si="4"/>
        <v>0</v>
      </c>
      <c r="J19" s="508">
        <f t="shared" si="4"/>
        <v>0</v>
      </c>
      <c r="K19" s="508">
        <f t="shared" si="4"/>
        <v>0</v>
      </c>
      <c r="L19" s="508">
        <f t="shared" si="4"/>
        <v>0</v>
      </c>
      <c r="M19" s="508">
        <f t="shared" si="4"/>
        <v>0</v>
      </c>
      <c r="N19" s="508">
        <f t="shared" si="4"/>
        <v>0</v>
      </c>
      <c r="O19" s="508">
        <f>N23</f>
        <v>0</v>
      </c>
      <c r="P19" s="305"/>
    </row>
    <row r="20" spans="2:16">
      <c r="B20" s="514" t="s">
        <v>133</v>
      </c>
      <c r="C20" s="509">
        <f>$D$15</f>
        <v>0</v>
      </c>
      <c r="D20" s="509">
        <f t="shared" ref="D20:O20" si="5">$D$15</f>
        <v>0</v>
      </c>
      <c r="E20" s="509">
        <f t="shared" si="5"/>
        <v>0</v>
      </c>
      <c r="F20" s="509">
        <f t="shared" si="5"/>
        <v>0</v>
      </c>
      <c r="G20" s="509">
        <f t="shared" si="5"/>
        <v>0</v>
      </c>
      <c r="H20" s="509">
        <f t="shared" si="5"/>
        <v>0</v>
      </c>
      <c r="I20" s="509">
        <f t="shared" si="5"/>
        <v>0</v>
      </c>
      <c r="J20" s="509">
        <f t="shared" si="5"/>
        <v>0</v>
      </c>
      <c r="K20" s="509">
        <f t="shared" si="5"/>
        <v>0</v>
      </c>
      <c r="L20" s="509">
        <f t="shared" si="5"/>
        <v>0</v>
      </c>
      <c r="M20" s="509">
        <f t="shared" si="5"/>
        <v>0</v>
      </c>
      <c r="N20" s="509">
        <f t="shared" si="5"/>
        <v>0</v>
      </c>
      <c r="O20" s="509">
        <f t="shared" si="5"/>
        <v>0</v>
      </c>
      <c r="P20" s="305"/>
    </row>
    <row r="21" spans="2:16">
      <c r="B21" s="514" t="s">
        <v>132</v>
      </c>
      <c r="C21" s="509">
        <f>SUM(C19:C20)</f>
        <v>0</v>
      </c>
      <c r="D21" s="508">
        <f t="shared" ref="D21:O21" si="6">SUM(D19:D20)</f>
        <v>0</v>
      </c>
      <c r="E21" s="508">
        <f t="shared" si="6"/>
        <v>0</v>
      </c>
      <c r="F21" s="508">
        <f t="shared" si="6"/>
        <v>0</v>
      </c>
      <c r="G21" s="508">
        <f t="shared" si="6"/>
        <v>0</v>
      </c>
      <c r="H21" s="508">
        <f t="shared" si="6"/>
        <v>0</v>
      </c>
      <c r="I21" s="508">
        <f t="shared" si="6"/>
        <v>0</v>
      </c>
      <c r="J21" s="508">
        <f t="shared" si="6"/>
        <v>0</v>
      </c>
      <c r="K21" s="508">
        <f t="shared" si="6"/>
        <v>0</v>
      </c>
      <c r="L21" s="508">
        <f t="shared" si="6"/>
        <v>0</v>
      </c>
      <c r="M21" s="508">
        <f t="shared" si="6"/>
        <v>0</v>
      </c>
      <c r="N21" s="508">
        <f t="shared" si="6"/>
        <v>0</v>
      </c>
      <c r="O21" s="508">
        <f t="shared" si="6"/>
        <v>0</v>
      </c>
      <c r="P21" s="305"/>
    </row>
    <row r="22" spans="2:16">
      <c r="B22" s="514" t="s">
        <v>64</v>
      </c>
      <c r="C22" s="509">
        <f>$D$16</f>
        <v>0</v>
      </c>
      <c r="D22" s="509">
        <f t="shared" ref="D22:O22" si="7">$D$16</f>
        <v>0</v>
      </c>
      <c r="E22" s="509">
        <f t="shared" si="7"/>
        <v>0</v>
      </c>
      <c r="F22" s="509">
        <f t="shared" si="7"/>
        <v>0</v>
      </c>
      <c r="G22" s="509">
        <f t="shared" si="7"/>
        <v>0</v>
      </c>
      <c r="H22" s="509">
        <f t="shared" si="7"/>
        <v>0</v>
      </c>
      <c r="I22" s="509">
        <f t="shared" si="7"/>
        <v>0</v>
      </c>
      <c r="J22" s="509">
        <f t="shared" si="7"/>
        <v>0</v>
      </c>
      <c r="K22" s="509">
        <f t="shared" si="7"/>
        <v>0</v>
      </c>
      <c r="L22" s="509">
        <f t="shared" si="7"/>
        <v>0</v>
      </c>
      <c r="M22" s="509">
        <f t="shared" si="7"/>
        <v>0</v>
      </c>
      <c r="N22" s="509">
        <f t="shared" si="7"/>
        <v>0</v>
      </c>
      <c r="O22" s="509">
        <f t="shared" si="7"/>
        <v>0</v>
      </c>
      <c r="P22" s="305"/>
    </row>
    <row r="23" spans="2:16" ht="27" customHeight="1">
      <c r="B23" s="515" t="s">
        <v>344</v>
      </c>
      <c r="C23" s="516">
        <f>C21-C22</f>
        <v>0</v>
      </c>
      <c r="D23" s="517">
        <f>D21-D22</f>
        <v>0</v>
      </c>
      <c r="E23" s="517">
        <f>E21-E22</f>
        <v>0</v>
      </c>
      <c r="F23" s="517">
        <f t="shared" ref="F23:N23" si="8">F21-F22</f>
        <v>0</v>
      </c>
      <c r="G23" s="517">
        <f t="shared" si="8"/>
        <v>0</v>
      </c>
      <c r="H23" s="517">
        <f t="shared" si="8"/>
        <v>0</v>
      </c>
      <c r="I23" s="517">
        <f t="shared" si="8"/>
        <v>0</v>
      </c>
      <c r="J23" s="517">
        <f t="shared" si="8"/>
        <v>0</v>
      </c>
      <c r="K23" s="517">
        <f t="shared" si="8"/>
        <v>0</v>
      </c>
      <c r="L23" s="517">
        <f t="shared" si="8"/>
        <v>0</v>
      </c>
      <c r="M23" s="517">
        <f t="shared" si="8"/>
        <v>0</v>
      </c>
      <c r="N23" s="517">
        <f t="shared" si="8"/>
        <v>0</v>
      </c>
      <c r="O23" s="517">
        <f>O21-O22</f>
        <v>0</v>
      </c>
      <c r="P23" s="305"/>
    </row>
  </sheetData>
  <mergeCells count="4">
    <mergeCell ref="G2:I2"/>
    <mergeCell ref="D4:O4"/>
    <mergeCell ref="C17:N17"/>
    <mergeCell ref="F15:J15"/>
  </mergeCells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2:J141"/>
  <sheetViews>
    <sheetView topLeftCell="A19" zoomScaleNormal="100" workbookViewId="0">
      <selection activeCell="A114" sqref="A114:F130"/>
    </sheetView>
  </sheetViews>
  <sheetFormatPr baseColWidth="10" defaultColWidth="11" defaultRowHeight="13"/>
  <cols>
    <col min="1" max="1" width="31.5" style="187" customWidth="1"/>
    <col min="2" max="2" width="16.83203125" style="187" customWidth="1"/>
    <col min="3" max="3" width="16.5" style="187" customWidth="1"/>
    <col min="4" max="4" width="15.5" style="187" customWidth="1"/>
    <col min="5" max="5" width="21.1640625" style="187" customWidth="1"/>
    <col min="6" max="6" width="22.1640625" style="187" customWidth="1"/>
    <col min="7" max="16384" width="11" style="187"/>
  </cols>
  <sheetData>
    <row r="2" spans="1:7" ht="18">
      <c r="A2" s="1245">
        <f>'Pres. Costos Fijos año 1'!A1</f>
        <v>0</v>
      </c>
      <c r="B2" s="1245"/>
      <c r="C2" s="1245"/>
      <c r="D2" s="1245"/>
      <c r="E2" s="1245"/>
      <c r="F2" s="1245"/>
    </row>
    <row r="4" spans="1:7" ht="14" thickBot="1"/>
    <row r="5" spans="1:7" ht="20" thickBot="1">
      <c r="A5" s="1206" t="s">
        <v>387</v>
      </c>
      <c r="B5" s="1207"/>
      <c r="C5" s="1207"/>
      <c r="D5" s="1207"/>
      <c r="E5" s="1207"/>
      <c r="F5" s="1208"/>
    </row>
    <row r="6" spans="1:7">
      <c r="A6" s="305"/>
      <c r="B6" s="305"/>
      <c r="C6" s="305"/>
      <c r="D6" s="305"/>
      <c r="E6" s="305"/>
      <c r="F6" s="305"/>
      <c r="G6" s="305"/>
    </row>
    <row r="7" spans="1:7" ht="14" thickBot="1">
      <c r="A7" s="305"/>
      <c r="B7" s="305"/>
      <c r="C7" s="305"/>
      <c r="D7" s="305"/>
      <c r="E7" s="305"/>
      <c r="F7" s="305"/>
      <c r="G7" s="305"/>
    </row>
    <row r="8" spans="1:7" ht="19" thickBot="1">
      <c r="A8" s="1242" t="s">
        <v>348</v>
      </c>
      <c r="B8" s="1243"/>
      <c r="C8" s="1243"/>
      <c r="D8" s="1243"/>
      <c r="E8" s="1243"/>
      <c r="F8" s="1244"/>
    </row>
    <row r="9" spans="1:7" ht="12" customHeight="1">
      <c r="A9" s="1260" t="s">
        <v>36</v>
      </c>
      <c r="B9" s="1252" t="s">
        <v>181</v>
      </c>
      <c r="C9" s="1252" t="s">
        <v>474</v>
      </c>
      <c r="D9" s="1252" t="s">
        <v>262</v>
      </c>
      <c r="E9" s="1252" t="s">
        <v>115</v>
      </c>
      <c r="F9" s="1262" t="s">
        <v>183</v>
      </c>
    </row>
    <row r="10" spans="1:7" ht="17.25" customHeight="1">
      <c r="A10" s="1261"/>
      <c r="B10" s="1253" t="s">
        <v>184</v>
      </c>
      <c r="C10" s="1253" t="s">
        <v>184</v>
      </c>
      <c r="D10" s="1253"/>
      <c r="E10" s="1253"/>
      <c r="F10" s="1263"/>
    </row>
    <row r="11" spans="1:7" ht="18" customHeight="1">
      <c r="A11" s="962">
        <f>Pres.Ventas!A17</f>
        <v>0</v>
      </c>
      <c r="B11" s="962">
        <f>Pres.Ventas!C11</f>
        <v>25000</v>
      </c>
      <c r="C11" s="963">
        <f>Pres.Ventas!P31</f>
        <v>0.5</v>
      </c>
      <c r="D11" s="964">
        <f t="shared" ref="D11:D22" si="0">B11*C11</f>
        <v>12500</v>
      </c>
      <c r="E11" s="963">
        <f>Pres.Ventas!C74</f>
        <v>6</v>
      </c>
      <c r="F11" s="965">
        <f t="shared" ref="F11:F22" si="1">E11*B11</f>
        <v>150000</v>
      </c>
    </row>
    <row r="12" spans="1:7" ht="18" customHeight="1">
      <c r="A12" s="962" t="str">
        <f>Pres.Ventas!A11</f>
        <v>Welcome party</v>
      </c>
      <c r="B12" s="962">
        <f>Pres.Ventas!C12</f>
        <v>100000</v>
      </c>
      <c r="C12" s="963">
        <f>Pres.Ventas!P32</f>
        <v>1.0833333333333333</v>
      </c>
      <c r="D12" s="964">
        <f t="shared" si="0"/>
        <v>108333.33333333333</v>
      </c>
      <c r="E12" s="963">
        <f>Pres.Ventas!C75</f>
        <v>13</v>
      </c>
      <c r="F12" s="965">
        <f t="shared" si="1"/>
        <v>1300000</v>
      </c>
    </row>
    <row r="13" spans="1:7" ht="18" customHeight="1">
      <c r="A13" s="962" t="str">
        <f>Pres.Ventas!A13</f>
        <v>Hora extra</v>
      </c>
      <c r="B13" s="962">
        <f>Pres.Ventas!C13</f>
        <v>6000</v>
      </c>
      <c r="C13" s="963">
        <f>Pres.Ventas!P33</f>
        <v>1.25</v>
      </c>
      <c r="D13" s="964">
        <f t="shared" si="0"/>
        <v>7500</v>
      </c>
      <c r="E13" s="963">
        <f>Pres.Ventas!C76</f>
        <v>15</v>
      </c>
      <c r="F13" s="965">
        <f t="shared" si="1"/>
        <v>90000</v>
      </c>
    </row>
    <row r="14" spans="1:7" ht="18" customHeight="1">
      <c r="A14" s="962" t="str">
        <f>Pres.Ventas!A12</f>
        <v>Boda</v>
      </c>
      <c r="B14" s="962">
        <f>Pres.Ventas!C14</f>
        <v>1500</v>
      </c>
      <c r="C14" s="963">
        <f>Pres.Ventas!P34</f>
        <v>0.33333333333333331</v>
      </c>
      <c r="D14" s="964">
        <f t="shared" si="0"/>
        <v>500</v>
      </c>
      <c r="E14" s="963">
        <f>Pres.Ventas!C77</f>
        <v>4</v>
      </c>
      <c r="F14" s="965">
        <f t="shared" si="1"/>
        <v>6000</v>
      </c>
    </row>
    <row r="15" spans="1:7" ht="18" customHeight="1">
      <c r="A15" s="962" t="e">
        <f>Pres.Ventas!#REF!</f>
        <v>#REF!</v>
      </c>
      <c r="B15" s="962">
        <f>Pres.Ventas!C15</f>
        <v>0</v>
      </c>
      <c r="C15" s="963">
        <f>Pres.Ventas!P35</f>
        <v>8.3333333333333329E-2</v>
      </c>
      <c r="D15" s="964">
        <f t="shared" si="0"/>
        <v>0</v>
      </c>
      <c r="E15" s="963">
        <f>Pres.Ventas!C78</f>
        <v>1</v>
      </c>
      <c r="F15" s="965">
        <f t="shared" si="1"/>
        <v>0</v>
      </c>
    </row>
    <row r="16" spans="1:7" ht="18" customHeight="1">
      <c r="A16" s="962" t="str">
        <f>Pres.Ventas!A14</f>
        <v>Club</v>
      </c>
      <c r="B16" s="962">
        <f>Pres.Ventas!C16</f>
        <v>0</v>
      </c>
      <c r="C16" s="963">
        <f>Pres.Ventas!P36</f>
        <v>0</v>
      </c>
      <c r="D16" s="964">
        <f t="shared" si="0"/>
        <v>0</v>
      </c>
      <c r="E16" s="963">
        <f>Pres.Ventas!C79</f>
        <v>0</v>
      </c>
      <c r="F16" s="965">
        <f t="shared" si="1"/>
        <v>0</v>
      </c>
    </row>
    <row r="17" spans="1:7" ht="18" customHeight="1">
      <c r="A17" s="962" t="e">
        <f>Pres.Ventas!#REF!</f>
        <v>#REF!</v>
      </c>
      <c r="B17" s="962">
        <f>Pres.Ventas!C17</f>
        <v>0</v>
      </c>
      <c r="C17" s="963">
        <f>Pres.Ventas!P37</f>
        <v>8.3333333333333329E-2</v>
      </c>
      <c r="D17" s="964">
        <f t="shared" si="0"/>
        <v>0</v>
      </c>
      <c r="E17" s="963">
        <f>Pres.Ventas!C80</f>
        <v>1</v>
      </c>
      <c r="F17" s="965">
        <f t="shared" si="1"/>
        <v>0</v>
      </c>
    </row>
    <row r="18" spans="1:7" ht="18" customHeight="1">
      <c r="A18" s="962">
        <f>Pres.Ventas!A16</f>
        <v>0</v>
      </c>
      <c r="B18" s="962">
        <f>Pres.Ventas!C18</f>
        <v>0</v>
      </c>
      <c r="C18" s="963">
        <f>Pres.Ventas!P38</f>
        <v>8.3333333333333329E-2</v>
      </c>
      <c r="D18" s="964">
        <f t="shared" si="0"/>
        <v>0</v>
      </c>
      <c r="E18" s="963">
        <f>Pres.Ventas!C81</f>
        <v>1</v>
      </c>
      <c r="F18" s="965">
        <f t="shared" si="1"/>
        <v>0</v>
      </c>
    </row>
    <row r="19" spans="1:7" ht="18" customHeight="1">
      <c r="A19" s="962">
        <f>Pres.Ventas!A19</f>
        <v>0</v>
      </c>
      <c r="B19" s="962">
        <f>Pres.Ventas!C19</f>
        <v>0</v>
      </c>
      <c r="C19" s="963">
        <f>Pres.Ventas!P39</f>
        <v>0</v>
      </c>
      <c r="D19" s="964">
        <f t="shared" si="0"/>
        <v>0</v>
      </c>
      <c r="E19" s="963">
        <f>Pres.Ventas!C82</f>
        <v>0</v>
      </c>
      <c r="F19" s="965">
        <f t="shared" si="1"/>
        <v>0</v>
      </c>
    </row>
    <row r="20" spans="1:7" ht="18" customHeight="1">
      <c r="A20" s="962">
        <f>Pres.Ventas!A20</f>
        <v>0</v>
      </c>
      <c r="B20" s="962">
        <f>Pres.Ventas!C20</f>
        <v>0</v>
      </c>
      <c r="C20" s="963">
        <f>Pres.Ventas!P40</f>
        <v>0</v>
      </c>
      <c r="D20" s="964">
        <f t="shared" si="0"/>
        <v>0</v>
      </c>
      <c r="E20" s="963">
        <f>Pres.Ventas!C83</f>
        <v>0</v>
      </c>
      <c r="F20" s="965">
        <f t="shared" si="1"/>
        <v>0</v>
      </c>
    </row>
    <row r="21" spans="1:7" ht="18" customHeight="1">
      <c r="A21" s="962">
        <f>Pres.Ventas!A21</f>
        <v>0</v>
      </c>
      <c r="B21" s="962">
        <f>Pres.Ventas!C21</f>
        <v>0</v>
      </c>
      <c r="C21" s="963">
        <f>Pres.Ventas!P41</f>
        <v>0</v>
      </c>
      <c r="D21" s="964">
        <f t="shared" si="0"/>
        <v>0</v>
      </c>
      <c r="E21" s="963">
        <f>Pres.Ventas!C84</f>
        <v>0</v>
      </c>
      <c r="F21" s="965">
        <f t="shared" si="1"/>
        <v>0</v>
      </c>
    </row>
    <row r="22" spans="1:7" ht="18.75" customHeight="1">
      <c r="A22" s="962">
        <f>Pres.Ventas!A22</f>
        <v>0</v>
      </c>
      <c r="B22" s="962">
        <f>Pres.Ventas!C22</f>
        <v>0</v>
      </c>
      <c r="C22" s="963">
        <f>Pres.Ventas!P42</f>
        <v>0</v>
      </c>
      <c r="D22" s="964">
        <f t="shared" si="0"/>
        <v>0</v>
      </c>
      <c r="E22" s="963">
        <f>Pres.Ventas!C85</f>
        <v>0</v>
      </c>
      <c r="F22" s="965">
        <f t="shared" si="1"/>
        <v>0</v>
      </c>
    </row>
    <row r="23" spans="1:7" ht="19.5" customHeight="1" thickBot="1">
      <c r="A23" s="284" t="s">
        <v>263</v>
      </c>
      <c r="B23" s="550">
        <f>SUM(B11:B22)</f>
        <v>132500</v>
      </c>
      <c r="C23" s="551">
        <f>SUM(C11:C22)</f>
        <v>3.416666666666667</v>
      </c>
      <c r="D23" s="550">
        <f>SUM(D11:D22)</f>
        <v>128833.33333333333</v>
      </c>
      <c r="E23" s="551">
        <f>SUM(E11:E22)</f>
        <v>41</v>
      </c>
      <c r="F23" s="550">
        <f>SUM(F11:F22)</f>
        <v>1546000</v>
      </c>
    </row>
    <row r="24" spans="1:7" ht="19.5" customHeight="1">
      <c r="A24" s="305"/>
      <c r="B24" s="305"/>
      <c r="C24" s="305"/>
      <c r="D24" s="305"/>
      <c r="E24" s="305"/>
      <c r="F24" s="305"/>
      <c r="G24" s="305"/>
    </row>
    <row r="25" spans="1:7" ht="14" thickBot="1">
      <c r="A25" s="522"/>
      <c r="B25" s="523"/>
      <c r="C25" s="523"/>
      <c r="D25" s="523"/>
      <c r="E25" s="523"/>
      <c r="F25" s="523"/>
      <c r="G25" s="305"/>
    </row>
    <row r="26" spans="1:7" ht="19" thickBot="1">
      <c r="A26" s="1242" t="s">
        <v>347</v>
      </c>
      <c r="B26" s="1243"/>
      <c r="C26" s="1243"/>
      <c r="D26" s="1243"/>
      <c r="E26" s="1243"/>
      <c r="F26" s="1244"/>
    </row>
    <row r="27" spans="1:7" ht="12" customHeight="1">
      <c r="A27" s="1260" t="s">
        <v>36</v>
      </c>
      <c r="B27" s="1252" t="s">
        <v>81</v>
      </c>
      <c r="C27" s="1254" t="str">
        <f>C9</f>
        <v>Unidades(MES)</v>
      </c>
      <c r="D27" s="1252" t="s">
        <v>37</v>
      </c>
      <c r="E27" s="1252" t="str">
        <f>E9</f>
        <v>UNIDADES (ANUAL)</v>
      </c>
      <c r="F27" s="1262" t="s">
        <v>185</v>
      </c>
    </row>
    <row r="28" spans="1:7" ht="16.5" customHeight="1">
      <c r="A28" s="1261"/>
      <c r="B28" s="1253"/>
      <c r="C28" s="1255"/>
      <c r="D28" s="1253"/>
      <c r="E28" s="1253"/>
      <c r="F28" s="1263"/>
    </row>
    <row r="29" spans="1:7" ht="18.75" customHeight="1">
      <c r="A29" s="966">
        <f>Pres.Ventas!A17</f>
        <v>0</v>
      </c>
      <c r="B29" s="480">
        <f>'DATOS COST UNIT.'!K49</f>
        <v>6750</v>
      </c>
      <c r="C29" s="963">
        <f>C11</f>
        <v>0.5</v>
      </c>
      <c r="D29" s="967">
        <f t="shared" ref="D29:D40" si="2">B29*C29</f>
        <v>3375</v>
      </c>
      <c r="E29" s="963">
        <f>E11</f>
        <v>6</v>
      </c>
      <c r="F29" s="968">
        <f t="shared" ref="F29:F40" si="3">E29*B29</f>
        <v>40500</v>
      </c>
    </row>
    <row r="30" spans="1:7" ht="18.75" customHeight="1">
      <c r="A30" s="966" t="str">
        <f>Pres.Ventas!A11</f>
        <v>Welcome party</v>
      </c>
      <c r="B30" s="480">
        <f>'DATOS COST UNIT.'!K50</f>
        <v>12000</v>
      </c>
      <c r="C30" s="963">
        <f t="shared" ref="C30:C40" si="4">C12</f>
        <v>1.0833333333333333</v>
      </c>
      <c r="D30" s="967">
        <f t="shared" si="2"/>
        <v>13000</v>
      </c>
      <c r="E30" s="963">
        <f t="shared" ref="E30:E40" si="5">E12</f>
        <v>13</v>
      </c>
      <c r="F30" s="968">
        <f t="shared" si="3"/>
        <v>156000</v>
      </c>
    </row>
    <row r="31" spans="1:7" ht="18.75" customHeight="1">
      <c r="A31" s="966" t="str">
        <f>Pres.Ventas!A13</f>
        <v>Hora extra</v>
      </c>
      <c r="B31" s="480">
        <f>'DATOS COST UNIT.'!K51</f>
        <v>7420</v>
      </c>
      <c r="C31" s="963">
        <f t="shared" si="4"/>
        <v>1.25</v>
      </c>
      <c r="D31" s="967">
        <f t="shared" si="2"/>
        <v>9275</v>
      </c>
      <c r="E31" s="963">
        <f t="shared" si="5"/>
        <v>15</v>
      </c>
      <c r="F31" s="968">
        <f t="shared" si="3"/>
        <v>111300</v>
      </c>
    </row>
    <row r="32" spans="1:7" ht="18.75" customHeight="1">
      <c r="A32" s="966" t="str">
        <f>Pres.Ventas!A12</f>
        <v>Boda</v>
      </c>
      <c r="B32" s="480">
        <f>'DATOS COST UNIT.'!K52</f>
        <v>10105</v>
      </c>
      <c r="C32" s="963">
        <f t="shared" si="4"/>
        <v>0.33333333333333331</v>
      </c>
      <c r="D32" s="967">
        <f t="shared" si="2"/>
        <v>3368.333333333333</v>
      </c>
      <c r="E32" s="963">
        <f t="shared" si="5"/>
        <v>4</v>
      </c>
      <c r="F32" s="968">
        <f t="shared" si="3"/>
        <v>40420</v>
      </c>
    </row>
    <row r="33" spans="1:10" ht="18.75" customHeight="1">
      <c r="A33" s="966" t="e">
        <f>Pres.Ventas!#REF!</f>
        <v>#REF!</v>
      </c>
      <c r="B33" s="480">
        <f>'DATOS COST UNIT.'!K53</f>
        <v>10000</v>
      </c>
      <c r="C33" s="963">
        <f t="shared" si="4"/>
        <v>8.3333333333333329E-2</v>
      </c>
      <c r="D33" s="967">
        <f t="shared" si="2"/>
        <v>833.33333333333326</v>
      </c>
      <c r="E33" s="963">
        <f t="shared" si="5"/>
        <v>1</v>
      </c>
      <c r="F33" s="968">
        <f t="shared" si="3"/>
        <v>10000</v>
      </c>
    </row>
    <row r="34" spans="1:10" ht="18.75" customHeight="1">
      <c r="A34" s="966" t="str">
        <f>Pres.Ventas!A14</f>
        <v>Club</v>
      </c>
      <c r="B34" s="480">
        <f>'DATOS COST UNIT.'!K54</f>
        <v>10000</v>
      </c>
      <c r="C34" s="963">
        <f t="shared" si="4"/>
        <v>0</v>
      </c>
      <c r="D34" s="967">
        <f t="shared" si="2"/>
        <v>0</v>
      </c>
      <c r="E34" s="963">
        <f t="shared" si="5"/>
        <v>0</v>
      </c>
      <c r="F34" s="968">
        <f t="shared" si="3"/>
        <v>0</v>
      </c>
    </row>
    <row r="35" spans="1:10" ht="18.75" customHeight="1">
      <c r="A35" s="966" t="e">
        <f>Pres.Ventas!#REF!</f>
        <v>#REF!</v>
      </c>
      <c r="B35" s="480">
        <f>'DATOS COST UNIT.'!K55</f>
        <v>10000</v>
      </c>
      <c r="C35" s="963">
        <f t="shared" si="4"/>
        <v>8.3333333333333329E-2</v>
      </c>
      <c r="D35" s="967">
        <f t="shared" si="2"/>
        <v>833.33333333333326</v>
      </c>
      <c r="E35" s="963">
        <f t="shared" si="5"/>
        <v>1</v>
      </c>
      <c r="F35" s="968">
        <f t="shared" si="3"/>
        <v>10000</v>
      </c>
    </row>
    <row r="36" spans="1:10" ht="18.75" customHeight="1">
      <c r="A36" s="966">
        <f>Pres.Ventas!A16</f>
        <v>0</v>
      </c>
      <c r="B36" s="480">
        <f>'DATOS COST UNIT.'!K56</f>
        <v>1000</v>
      </c>
      <c r="C36" s="963">
        <f t="shared" si="4"/>
        <v>8.3333333333333329E-2</v>
      </c>
      <c r="D36" s="967">
        <f t="shared" si="2"/>
        <v>83.333333333333329</v>
      </c>
      <c r="E36" s="963">
        <f t="shared" si="5"/>
        <v>1</v>
      </c>
      <c r="F36" s="968">
        <f t="shared" si="3"/>
        <v>1000</v>
      </c>
    </row>
    <row r="37" spans="1:10" ht="18.75" customHeight="1">
      <c r="A37" s="966">
        <f>Pres.Ventas!A19</f>
        <v>0</v>
      </c>
      <c r="B37" s="480">
        <f>'DATOS COST UNIT.'!K57</f>
        <v>0</v>
      </c>
      <c r="C37" s="963">
        <f t="shared" si="4"/>
        <v>0</v>
      </c>
      <c r="D37" s="967">
        <f t="shared" si="2"/>
        <v>0</v>
      </c>
      <c r="E37" s="963">
        <f t="shared" si="5"/>
        <v>0</v>
      </c>
      <c r="F37" s="968">
        <f t="shared" si="3"/>
        <v>0</v>
      </c>
    </row>
    <row r="38" spans="1:10" ht="18.75" customHeight="1">
      <c r="A38" s="966">
        <f>Pres.Ventas!A20</f>
        <v>0</v>
      </c>
      <c r="B38" s="480">
        <f>'DATOS COST UNIT.'!K58</f>
        <v>0</v>
      </c>
      <c r="C38" s="963">
        <f t="shared" si="4"/>
        <v>0</v>
      </c>
      <c r="D38" s="967">
        <f t="shared" si="2"/>
        <v>0</v>
      </c>
      <c r="E38" s="963">
        <f t="shared" si="5"/>
        <v>0</v>
      </c>
      <c r="F38" s="968">
        <f t="shared" si="3"/>
        <v>0</v>
      </c>
    </row>
    <row r="39" spans="1:10" ht="18.75" customHeight="1">
      <c r="A39" s="966">
        <f>Pres.Ventas!A21</f>
        <v>0</v>
      </c>
      <c r="B39" s="480">
        <f>'DATOS COST UNIT.'!K59</f>
        <v>0</v>
      </c>
      <c r="C39" s="963">
        <f t="shared" si="4"/>
        <v>0</v>
      </c>
      <c r="D39" s="967">
        <f t="shared" si="2"/>
        <v>0</v>
      </c>
      <c r="E39" s="963">
        <f t="shared" si="5"/>
        <v>0</v>
      </c>
      <c r="F39" s="968">
        <f t="shared" si="3"/>
        <v>0</v>
      </c>
    </row>
    <row r="40" spans="1:10" ht="15.75" customHeight="1">
      <c r="A40" s="966">
        <f>Pres.Ventas!A22</f>
        <v>0</v>
      </c>
      <c r="B40" s="480">
        <f>'DATOS COST UNIT.'!K60</f>
        <v>0</v>
      </c>
      <c r="C40" s="963">
        <f t="shared" si="4"/>
        <v>0</v>
      </c>
      <c r="D40" s="967">
        <f t="shared" si="2"/>
        <v>0</v>
      </c>
      <c r="E40" s="963">
        <f t="shared" si="5"/>
        <v>0</v>
      </c>
      <c r="F40" s="968">
        <f t="shared" si="3"/>
        <v>0</v>
      </c>
    </row>
    <row r="41" spans="1:10" ht="21" customHeight="1" thickBot="1">
      <c r="A41" s="267" t="s">
        <v>263</v>
      </c>
      <c r="B41" s="552">
        <f>SUM(B29:B40)</f>
        <v>67275</v>
      </c>
      <c r="C41" s="553">
        <f>SUM(C29:C40)</f>
        <v>3.416666666666667</v>
      </c>
      <c r="D41" s="552">
        <f>SUM(D29:D40)</f>
        <v>30768.333333333328</v>
      </c>
      <c r="E41" s="552">
        <f>SUM(E29:E40)</f>
        <v>41</v>
      </c>
      <c r="F41" s="552">
        <f>SUM(F29:F40)</f>
        <v>369220</v>
      </c>
      <c r="G41" s="524"/>
      <c r="J41" s="524"/>
    </row>
    <row r="42" spans="1:10">
      <c r="A42" s="262"/>
      <c r="B42" s="310"/>
      <c r="C42" s="525"/>
      <c r="D42" s="394"/>
      <c r="E42" s="525"/>
      <c r="F42" s="394"/>
      <c r="J42" s="524"/>
    </row>
    <row r="43" spans="1:10">
      <c r="A43" s="262"/>
      <c r="B43" s="310"/>
      <c r="C43" s="526"/>
      <c r="D43" s="394"/>
      <c r="E43" s="525"/>
      <c r="F43" s="394"/>
      <c r="J43" s="524"/>
    </row>
    <row r="44" spans="1:10" ht="14" thickBot="1">
      <c r="A44" s="527"/>
      <c r="B44" s="527"/>
      <c r="C44" s="262"/>
      <c r="D44" s="262"/>
      <c r="E44" s="262" t="s">
        <v>329</v>
      </c>
      <c r="F44" s="262"/>
    </row>
    <row r="45" spans="1:10" ht="20">
      <c r="A45" s="1266" t="s">
        <v>334</v>
      </c>
      <c r="B45" s="1267"/>
      <c r="C45" s="1267"/>
      <c r="D45" s="1267"/>
      <c r="E45" s="1268"/>
      <c r="F45" s="528"/>
    </row>
    <row r="46" spans="1:10">
      <c r="A46" s="546" t="s">
        <v>266</v>
      </c>
      <c r="B46" s="547"/>
      <c r="C46" s="548" t="s">
        <v>321</v>
      </c>
      <c r="D46" s="548"/>
      <c r="E46" s="549" t="s">
        <v>114</v>
      </c>
      <c r="F46" s="262"/>
    </row>
    <row r="47" spans="1:10">
      <c r="A47" s="529" t="str">
        <f>'Pres. Costos Fijos año 1'!A9</f>
        <v>SUELDOS FIJOS</v>
      </c>
      <c r="B47" s="353"/>
      <c r="C47" s="232">
        <f>'Pres. Costos Fijos año 1'!B9</f>
        <v>50193.045714337772</v>
      </c>
      <c r="D47" s="353"/>
      <c r="E47" s="555">
        <f>'Pres. Costos Fijos año 1'!N9</f>
        <v>624512.55081735202</v>
      </c>
      <c r="F47" s="530"/>
      <c r="G47" s="531"/>
    </row>
    <row r="48" spans="1:10">
      <c r="A48" s="529" t="str">
        <f>'Pres. Costos Fijos año 1'!A10</f>
        <v>Servidores</v>
      </c>
      <c r="B48" s="353"/>
      <c r="C48" s="232">
        <f>'Pres. Costos Fijos año 1'!B10</f>
        <v>2000</v>
      </c>
      <c r="D48" s="353"/>
      <c r="E48" s="555">
        <f>'Pres. Costos Fijos año 1'!N10</f>
        <v>24000</v>
      </c>
      <c r="F48" s="530"/>
      <c r="G48" s="531"/>
    </row>
    <row r="49" spans="1:7">
      <c r="A49" s="529" t="str">
        <f>'Pres. Costos Fijos año 1'!A11</f>
        <v>Contadora</v>
      </c>
      <c r="B49" s="353"/>
      <c r="C49" s="232">
        <f>'Pres. Costos Fijos año 1'!B11</f>
        <v>3000</v>
      </c>
      <c r="D49" s="353"/>
      <c r="E49" s="555">
        <f>'Pres. Costos Fijos año 1'!N11</f>
        <v>36000</v>
      </c>
      <c r="F49" s="530"/>
      <c r="G49" s="531"/>
    </row>
    <row r="50" spans="1:7">
      <c r="A50" s="529" t="str">
        <f>'Pres. Costos Fijos año 1'!A12</f>
        <v>Mercadotecnia</v>
      </c>
      <c r="B50" s="532"/>
      <c r="C50" s="232">
        <f>'Pres. Costos Fijos año 1'!B12</f>
        <v>30000</v>
      </c>
      <c r="D50" s="353"/>
      <c r="E50" s="555">
        <f>'Pres. Costos Fijos año 1'!N12</f>
        <v>360000</v>
      </c>
      <c r="F50" s="530"/>
      <c r="G50" s="531"/>
    </row>
    <row r="51" spans="1:7">
      <c r="A51" s="529" t="e">
        <f>'Pres. Costos Fijos año 1'!#REF!</f>
        <v>#REF!</v>
      </c>
      <c r="B51" s="532"/>
      <c r="C51" s="232">
        <f>'Pres. Costos Fijos año 1'!B13</f>
        <v>10000</v>
      </c>
      <c r="D51" s="353"/>
      <c r="E51" s="555">
        <f>'Pres. Costos Fijos año 1'!N13</f>
        <v>60000</v>
      </c>
      <c r="F51" s="530"/>
      <c r="G51" s="531"/>
    </row>
    <row r="52" spans="1:7">
      <c r="A52" s="529" t="str">
        <f>'Pres. Costos Fijos año 1'!A13</f>
        <v xml:space="preserve">Renta </v>
      </c>
      <c r="B52" s="532"/>
      <c r="C52" s="232">
        <f>'Pres. Costos Fijos año 1'!B14</f>
        <v>7000</v>
      </c>
      <c r="D52" s="353"/>
      <c r="E52" s="555">
        <f>'Pres. Costos Fijos año 1'!N14</f>
        <v>84000</v>
      </c>
      <c r="F52" s="530"/>
      <c r="G52" s="531"/>
    </row>
    <row r="53" spans="1:7">
      <c r="A53" s="529" t="e">
        <f>'Pres. Costos Fijos año 1'!#REF!</f>
        <v>#REF!</v>
      </c>
      <c r="B53" s="532"/>
      <c r="C53" s="232">
        <f>'Pres. Costos Fijos año 1'!B15</f>
        <v>4000</v>
      </c>
      <c r="D53" s="353"/>
      <c r="E53" s="555">
        <f>'Pres. Costos Fijos año 1'!N15</f>
        <v>48000</v>
      </c>
      <c r="F53" s="530"/>
      <c r="G53" s="531"/>
    </row>
    <row r="54" spans="1:7">
      <c r="A54" s="529">
        <f>'Pres. Costos Fijos año 1'!A16</f>
        <v>0</v>
      </c>
      <c r="B54" s="353"/>
      <c r="C54" s="232">
        <f>'Pres. Costos Fijos año 1'!B16</f>
        <v>0</v>
      </c>
      <c r="D54" s="353"/>
      <c r="E54" s="555">
        <f>'Pres. Costos Fijos año 1'!N16</f>
        <v>0</v>
      </c>
      <c r="F54" s="530"/>
      <c r="G54" s="531"/>
    </row>
    <row r="55" spans="1:7">
      <c r="A55" s="529">
        <f>'Pres. Costos Fijos año 1'!A17</f>
        <v>0</v>
      </c>
      <c r="B55" s="353"/>
      <c r="C55" s="232">
        <f>'Pres. Costos Fijos año 1'!B17</f>
        <v>0</v>
      </c>
      <c r="D55" s="353"/>
      <c r="E55" s="555">
        <f>'Pres. Costos Fijos año 1'!N17</f>
        <v>0</v>
      </c>
      <c r="F55" s="533"/>
      <c r="G55" s="531"/>
    </row>
    <row r="56" spans="1:7">
      <c r="A56" s="529" t="str">
        <f>'Pres. Costos Fijos año 1'!A15</f>
        <v xml:space="preserve">Legal </v>
      </c>
      <c r="B56" s="353"/>
      <c r="C56" s="232">
        <f>'Pres. Costos Fijos año 1'!B18</f>
        <v>0</v>
      </c>
      <c r="D56" s="534"/>
      <c r="E56" s="555">
        <f>'Pres. Costos Fijos año 1'!N18</f>
        <v>0</v>
      </c>
      <c r="F56" s="530"/>
      <c r="G56" s="531"/>
    </row>
    <row r="57" spans="1:7">
      <c r="A57" s="529">
        <f>'Pres. Costos Fijos año 1'!A19</f>
        <v>0</v>
      </c>
      <c r="B57" s="353"/>
      <c r="C57" s="232">
        <f>'Pres. Costos Fijos año 1'!B19</f>
        <v>0</v>
      </c>
      <c r="D57" s="534"/>
      <c r="E57" s="555">
        <f>'Pres. Costos Fijos año 1'!N19</f>
        <v>0</v>
      </c>
      <c r="F57" s="530"/>
      <c r="G57" s="531"/>
    </row>
    <row r="58" spans="1:7">
      <c r="A58" s="529">
        <f>'Pres. Costos Fijos año 1'!A20</f>
        <v>0</v>
      </c>
      <c r="B58" s="353"/>
      <c r="C58" s="232">
        <f>'Pres. Costos Fijos año 1'!B20</f>
        <v>0</v>
      </c>
      <c r="D58" s="534"/>
      <c r="E58" s="555">
        <f>'Pres. Costos Fijos año 1'!N20</f>
        <v>0</v>
      </c>
      <c r="F58" s="530"/>
      <c r="G58" s="531"/>
    </row>
    <row r="59" spans="1:7">
      <c r="A59" s="529"/>
      <c r="B59" s="353"/>
      <c r="C59" s="535"/>
      <c r="D59" s="438"/>
      <c r="E59" s="536"/>
      <c r="F59" s="530"/>
      <c r="G59" s="531"/>
    </row>
    <row r="60" spans="1:7" ht="17" thickBot="1">
      <c r="A60" s="284" t="s">
        <v>213</v>
      </c>
      <c r="B60" s="556"/>
      <c r="C60" s="557">
        <f>SUM(C47:C59)</f>
        <v>106193.04571433777</v>
      </c>
      <c r="D60" s="557"/>
      <c r="E60" s="558">
        <f>SUM(E47:E59)</f>
        <v>1236512.550817352</v>
      </c>
      <c r="F60" s="533"/>
      <c r="G60" s="531"/>
    </row>
    <row r="61" spans="1:7">
      <c r="A61" s="305"/>
      <c r="B61" s="305"/>
      <c r="C61" s="305"/>
      <c r="D61" s="305"/>
      <c r="E61" s="305"/>
      <c r="F61" s="533"/>
      <c r="G61" s="531"/>
    </row>
    <row r="62" spans="1:7">
      <c r="A62" s="305"/>
      <c r="B62" s="305"/>
      <c r="C62" s="305"/>
      <c r="D62" s="305"/>
      <c r="E62" s="305"/>
      <c r="F62" s="533"/>
      <c r="G62" s="531"/>
    </row>
    <row r="63" spans="1:7" ht="14" thickBot="1">
      <c r="A63" s="305"/>
      <c r="B63" s="305"/>
      <c r="C63" s="305"/>
      <c r="D63" s="305"/>
      <c r="E63" s="305"/>
      <c r="F63" s="533"/>
      <c r="G63" s="531"/>
    </row>
    <row r="64" spans="1:7" ht="17" thickBot="1">
      <c r="A64" s="1256" t="s">
        <v>406</v>
      </c>
      <c r="B64" s="1257"/>
      <c r="C64" s="1258"/>
      <c r="D64" s="1258"/>
      <c r="E64" s="1259"/>
      <c r="F64" s="533"/>
      <c r="G64" s="531"/>
    </row>
    <row r="65" spans="1:7" ht="16">
      <c r="A65" s="537"/>
      <c r="B65" s="537"/>
      <c r="C65" s="548" t="s">
        <v>321</v>
      </c>
      <c r="D65" s="548"/>
      <c r="E65" s="549" t="s">
        <v>114</v>
      </c>
      <c r="F65" s="533"/>
      <c r="G65" s="531"/>
    </row>
    <row r="66" spans="1:7">
      <c r="A66" s="451" t="s">
        <v>290</v>
      </c>
      <c r="B66" s="538"/>
      <c r="C66" s="567">
        <f>D23</f>
        <v>128833.33333333333</v>
      </c>
      <c r="D66" s="567" t="s">
        <v>327</v>
      </c>
      <c r="E66" s="568">
        <f>F23</f>
        <v>1546000</v>
      </c>
      <c r="F66" s="533"/>
      <c r="G66" s="531"/>
    </row>
    <row r="67" spans="1:7">
      <c r="A67" s="539" t="s">
        <v>291</v>
      </c>
      <c r="B67" s="353"/>
      <c r="C67" s="569">
        <f>D41</f>
        <v>30768.333333333328</v>
      </c>
      <c r="D67" s="569" t="s">
        <v>327</v>
      </c>
      <c r="E67" s="570">
        <f>F41</f>
        <v>369220</v>
      </c>
      <c r="F67" s="533"/>
      <c r="G67" s="531"/>
    </row>
    <row r="68" spans="1:7">
      <c r="A68" s="540" t="s">
        <v>182</v>
      </c>
      <c r="B68" s="438"/>
      <c r="C68" s="211">
        <f>C60</f>
        <v>106193.04571433777</v>
      </c>
      <c r="D68" s="211"/>
      <c r="E68" s="212">
        <f>E60</f>
        <v>1236512.550817352</v>
      </c>
      <c r="F68" s="305"/>
    </row>
    <row r="69" spans="1:7" ht="17" thickBot="1">
      <c r="A69" s="284" t="str">
        <f>A64</f>
        <v>UTILIDAD ANTES DE INTERESES E IMPUESTOS año 1</v>
      </c>
      <c r="B69" s="559"/>
      <c r="C69" s="560">
        <f>C66-C67-C68</f>
        <v>-8128.0457143377716</v>
      </c>
      <c r="D69" s="561" t="s">
        <v>327</v>
      </c>
      <c r="E69" s="562">
        <f>E66-E67-E68</f>
        <v>-59732.550817352021</v>
      </c>
      <c r="F69" s="305"/>
    </row>
    <row r="70" spans="1:7" ht="16">
      <c r="A70" s="527"/>
      <c r="B70" s="262"/>
      <c r="C70" s="541"/>
      <c r="D70" s="276"/>
      <c r="E70" s="541"/>
      <c r="F70" s="305"/>
    </row>
    <row r="71" spans="1:7" ht="21.75" customHeight="1">
      <c r="A71" s="1264" t="s">
        <v>337</v>
      </c>
      <c r="B71" s="1265"/>
      <c r="C71" s="1265"/>
      <c r="D71" s="1265"/>
      <c r="E71" s="1265"/>
      <c r="F71" s="1265"/>
    </row>
    <row r="72" spans="1:7" ht="17" thickBot="1">
      <c r="A72" s="971"/>
      <c r="B72" s="972"/>
      <c r="C72" s="973"/>
      <c r="D72" s="974"/>
      <c r="E72" s="973"/>
      <c r="F72" s="975"/>
    </row>
    <row r="73" spans="1:7">
      <c r="A73" s="1246" t="s">
        <v>284</v>
      </c>
      <c r="B73" s="1247"/>
      <c r="C73" s="1247"/>
      <c r="D73" s="1247"/>
      <c r="E73" s="1247"/>
      <c r="F73" s="1248"/>
    </row>
    <row r="74" spans="1:7" ht="14" thickBot="1">
      <c r="A74" s="1249"/>
      <c r="B74" s="1250"/>
      <c r="C74" s="1250"/>
      <c r="D74" s="1250"/>
      <c r="E74" s="1250"/>
      <c r="F74" s="1251"/>
    </row>
    <row r="75" spans="1:7" ht="14">
      <c r="A75" s="586" t="s">
        <v>280</v>
      </c>
      <c r="B75" s="586" t="s">
        <v>276</v>
      </c>
      <c r="C75" s="587" t="s">
        <v>277</v>
      </c>
      <c r="D75" s="587" t="s">
        <v>283</v>
      </c>
      <c r="E75" s="587" t="s">
        <v>278</v>
      </c>
      <c r="F75" s="587" t="s">
        <v>282</v>
      </c>
    </row>
    <row r="76" spans="1:7">
      <c r="A76" s="969">
        <f t="shared" ref="A76:B87" si="6">A11</f>
        <v>0</v>
      </c>
      <c r="B76" s="967">
        <f t="shared" si="6"/>
        <v>25000</v>
      </c>
      <c r="C76" s="480">
        <f t="shared" ref="C76:C87" si="7">B29</f>
        <v>6750</v>
      </c>
      <c r="D76" s="502">
        <f t="shared" ref="D76:D87" si="8">B76-C76</f>
        <v>18250</v>
      </c>
      <c r="E76" s="970">
        <f t="shared" ref="E76:E87" si="9">C11/$C$23</f>
        <v>0.14634146341463414</v>
      </c>
      <c r="F76" s="502">
        <f t="shared" ref="F76:F87" si="10">B76*E76</f>
        <v>3658.5365853658536</v>
      </c>
    </row>
    <row r="77" spans="1:7">
      <c r="A77" s="969" t="str">
        <f t="shared" si="6"/>
        <v>Welcome party</v>
      </c>
      <c r="B77" s="967">
        <f t="shared" si="6"/>
        <v>100000</v>
      </c>
      <c r="C77" s="480">
        <f t="shared" si="7"/>
        <v>12000</v>
      </c>
      <c r="D77" s="502">
        <f t="shared" si="8"/>
        <v>88000</v>
      </c>
      <c r="E77" s="970">
        <f t="shared" si="9"/>
        <v>0.31707317073170727</v>
      </c>
      <c r="F77" s="502">
        <f t="shared" si="10"/>
        <v>31707.317073170725</v>
      </c>
    </row>
    <row r="78" spans="1:7">
      <c r="A78" s="969" t="str">
        <f t="shared" si="6"/>
        <v>Hora extra</v>
      </c>
      <c r="B78" s="967">
        <f t="shared" si="6"/>
        <v>6000</v>
      </c>
      <c r="C78" s="480">
        <f t="shared" si="7"/>
        <v>7420</v>
      </c>
      <c r="D78" s="502">
        <f t="shared" si="8"/>
        <v>-1420</v>
      </c>
      <c r="E78" s="970">
        <f t="shared" si="9"/>
        <v>0.36585365853658536</v>
      </c>
      <c r="F78" s="502">
        <f t="shared" si="10"/>
        <v>2195.1219512195121</v>
      </c>
    </row>
    <row r="79" spans="1:7">
      <c r="A79" s="969" t="str">
        <f t="shared" si="6"/>
        <v>Boda</v>
      </c>
      <c r="B79" s="967">
        <f t="shared" si="6"/>
        <v>1500</v>
      </c>
      <c r="C79" s="480">
        <f t="shared" si="7"/>
        <v>10105</v>
      </c>
      <c r="D79" s="502">
        <f t="shared" si="8"/>
        <v>-8605</v>
      </c>
      <c r="E79" s="970">
        <f t="shared" si="9"/>
        <v>9.7560975609756087E-2</v>
      </c>
      <c r="F79" s="502">
        <f t="shared" si="10"/>
        <v>146.34146341463412</v>
      </c>
    </row>
    <row r="80" spans="1:7">
      <c r="A80" s="969" t="e">
        <f t="shared" si="6"/>
        <v>#REF!</v>
      </c>
      <c r="B80" s="967">
        <f t="shared" si="6"/>
        <v>0</v>
      </c>
      <c r="C80" s="480">
        <f t="shared" si="7"/>
        <v>10000</v>
      </c>
      <c r="D80" s="502">
        <f t="shared" si="8"/>
        <v>-10000</v>
      </c>
      <c r="E80" s="970">
        <f t="shared" si="9"/>
        <v>2.4390243902439022E-2</v>
      </c>
      <c r="F80" s="502">
        <f t="shared" si="10"/>
        <v>0</v>
      </c>
    </row>
    <row r="81" spans="1:10">
      <c r="A81" s="969" t="str">
        <f t="shared" si="6"/>
        <v>Club</v>
      </c>
      <c r="B81" s="967">
        <f t="shared" si="6"/>
        <v>0</v>
      </c>
      <c r="C81" s="480">
        <f t="shared" si="7"/>
        <v>10000</v>
      </c>
      <c r="D81" s="502">
        <f t="shared" si="8"/>
        <v>-10000</v>
      </c>
      <c r="E81" s="970">
        <f t="shared" si="9"/>
        <v>0</v>
      </c>
      <c r="F81" s="502">
        <f t="shared" si="10"/>
        <v>0</v>
      </c>
    </row>
    <row r="82" spans="1:10">
      <c r="A82" s="969" t="e">
        <f t="shared" si="6"/>
        <v>#REF!</v>
      </c>
      <c r="B82" s="967">
        <f t="shared" si="6"/>
        <v>0</v>
      </c>
      <c r="C82" s="480">
        <f t="shared" si="7"/>
        <v>10000</v>
      </c>
      <c r="D82" s="502">
        <f t="shared" si="8"/>
        <v>-10000</v>
      </c>
      <c r="E82" s="970">
        <f t="shared" si="9"/>
        <v>2.4390243902439022E-2</v>
      </c>
      <c r="F82" s="502">
        <f t="shared" si="10"/>
        <v>0</v>
      </c>
    </row>
    <row r="83" spans="1:10">
      <c r="A83" s="969">
        <f t="shared" si="6"/>
        <v>0</v>
      </c>
      <c r="B83" s="967">
        <f t="shared" si="6"/>
        <v>0</v>
      </c>
      <c r="C83" s="480">
        <f t="shared" si="7"/>
        <v>1000</v>
      </c>
      <c r="D83" s="502">
        <f t="shared" si="8"/>
        <v>-1000</v>
      </c>
      <c r="E83" s="970">
        <f t="shared" si="9"/>
        <v>2.4390243902439022E-2</v>
      </c>
      <c r="F83" s="502">
        <f t="shared" si="10"/>
        <v>0</v>
      </c>
    </row>
    <row r="84" spans="1:10">
      <c r="A84" s="969">
        <f t="shared" si="6"/>
        <v>0</v>
      </c>
      <c r="B84" s="967">
        <f t="shared" si="6"/>
        <v>0</v>
      </c>
      <c r="C84" s="480">
        <f t="shared" si="7"/>
        <v>0</v>
      </c>
      <c r="D84" s="502">
        <f t="shared" si="8"/>
        <v>0</v>
      </c>
      <c r="E84" s="970">
        <f t="shared" si="9"/>
        <v>0</v>
      </c>
      <c r="F84" s="502">
        <f t="shared" si="10"/>
        <v>0</v>
      </c>
    </row>
    <row r="85" spans="1:10">
      <c r="A85" s="969">
        <f t="shared" si="6"/>
        <v>0</v>
      </c>
      <c r="B85" s="967">
        <f t="shared" si="6"/>
        <v>0</v>
      </c>
      <c r="C85" s="480">
        <f t="shared" si="7"/>
        <v>0</v>
      </c>
      <c r="D85" s="502">
        <f t="shared" si="8"/>
        <v>0</v>
      </c>
      <c r="E85" s="970">
        <f t="shared" si="9"/>
        <v>0</v>
      </c>
      <c r="F85" s="502">
        <f t="shared" si="10"/>
        <v>0</v>
      </c>
    </row>
    <row r="86" spans="1:10">
      <c r="A86" s="969">
        <f t="shared" si="6"/>
        <v>0</v>
      </c>
      <c r="B86" s="967">
        <f t="shared" si="6"/>
        <v>0</v>
      </c>
      <c r="C86" s="480">
        <f t="shared" si="7"/>
        <v>0</v>
      </c>
      <c r="D86" s="502">
        <f t="shared" si="8"/>
        <v>0</v>
      </c>
      <c r="E86" s="970">
        <f t="shared" si="9"/>
        <v>0</v>
      </c>
      <c r="F86" s="502">
        <f t="shared" si="10"/>
        <v>0</v>
      </c>
    </row>
    <row r="87" spans="1:10" ht="14" thickBot="1">
      <c r="A87" s="969">
        <f t="shared" si="6"/>
        <v>0</v>
      </c>
      <c r="B87" s="967">
        <f t="shared" si="6"/>
        <v>0</v>
      </c>
      <c r="C87" s="480">
        <f t="shared" si="7"/>
        <v>0</v>
      </c>
      <c r="D87" s="502">
        <f t="shared" si="8"/>
        <v>0</v>
      </c>
      <c r="E87" s="970">
        <f t="shared" si="9"/>
        <v>0</v>
      </c>
      <c r="F87" s="502">
        <f t="shared" si="10"/>
        <v>0</v>
      </c>
    </row>
    <row r="88" spans="1:10" ht="14" thickBot="1">
      <c r="A88" s="267" t="s">
        <v>388</v>
      </c>
      <c r="B88" s="563"/>
      <c r="C88" s="564"/>
      <c r="D88" s="564"/>
      <c r="E88" s="565"/>
      <c r="F88" s="566">
        <f>SUM(F76:F87)</f>
        <v>37707.317073170721</v>
      </c>
    </row>
    <row r="89" spans="1:10" ht="17" thickBot="1">
      <c r="A89" s="583" t="s">
        <v>269</v>
      </c>
      <c r="B89" s="585">
        <f>F88</f>
        <v>37707.317073170721</v>
      </c>
      <c r="C89" s="305"/>
      <c r="D89" s="305"/>
      <c r="E89" s="305"/>
      <c r="F89" s="305"/>
    </row>
    <row r="90" spans="1:10">
      <c r="A90" s="305"/>
      <c r="B90" s="305"/>
      <c r="C90" s="305"/>
      <c r="D90" s="305"/>
      <c r="E90" s="305"/>
      <c r="F90" s="305"/>
    </row>
    <row r="91" spans="1:10">
      <c r="A91" s="305"/>
      <c r="B91" s="305"/>
      <c r="C91" s="305"/>
      <c r="D91" s="305"/>
      <c r="E91" s="305"/>
      <c r="F91" s="305"/>
    </row>
    <row r="92" spans="1:10" ht="14" thickBot="1">
      <c r="A92" s="527"/>
      <c r="B92" s="262"/>
      <c r="C92" s="276"/>
      <c r="D92" s="262"/>
      <c r="E92" s="276"/>
      <c r="F92" s="305"/>
    </row>
    <row r="93" spans="1:10">
      <c r="A93" s="1246" t="s">
        <v>275</v>
      </c>
      <c r="B93" s="1247"/>
      <c r="C93" s="1247"/>
      <c r="D93" s="1247"/>
      <c r="E93" s="1247"/>
      <c r="F93" s="1248"/>
      <c r="J93" s="542"/>
    </row>
    <row r="94" spans="1:10" ht="14" thickBot="1">
      <c r="A94" s="1249"/>
      <c r="B94" s="1250"/>
      <c r="C94" s="1250"/>
      <c r="D94" s="1250"/>
      <c r="E94" s="1250"/>
      <c r="F94" s="1251"/>
    </row>
    <row r="95" spans="1:10" ht="14">
      <c r="A95" s="586" t="s">
        <v>280</v>
      </c>
      <c r="B95" s="586" t="s">
        <v>276</v>
      </c>
      <c r="C95" s="587" t="s">
        <v>277</v>
      </c>
      <c r="D95" s="587" t="s">
        <v>281</v>
      </c>
      <c r="E95" s="587" t="s">
        <v>278</v>
      </c>
      <c r="F95" s="588" t="s">
        <v>285</v>
      </c>
      <c r="G95" s="187" t="s">
        <v>31</v>
      </c>
      <c r="H95" s="543"/>
    </row>
    <row r="96" spans="1:10">
      <c r="A96" s="572">
        <f t="shared" ref="A96:A107" si="11">A29</f>
        <v>0</v>
      </c>
      <c r="B96" s="554">
        <f t="shared" ref="B96:B107" si="12">B11</f>
        <v>25000</v>
      </c>
      <c r="C96" s="232">
        <f t="shared" ref="C96:C107" si="13">B29</f>
        <v>6750</v>
      </c>
      <c r="D96" s="571">
        <f t="shared" ref="D96:D107" si="14">B96-C96</f>
        <v>18250</v>
      </c>
      <c r="E96" s="479">
        <f t="shared" ref="E96:E107" si="15">C11/$C$23</f>
        <v>0.14634146341463414</v>
      </c>
      <c r="F96" s="571">
        <f t="shared" ref="F96:F107" si="16">C96*E96</f>
        <v>987.80487804878044</v>
      </c>
    </row>
    <row r="97" spans="1:7">
      <c r="A97" s="572" t="str">
        <f t="shared" si="11"/>
        <v>Welcome party</v>
      </c>
      <c r="B97" s="554">
        <f t="shared" si="12"/>
        <v>100000</v>
      </c>
      <c r="C97" s="232">
        <f t="shared" si="13"/>
        <v>12000</v>
      </c>
      <c r="D97" s="571">
        <f t="shared" si="14"/>
        <v>88000</v>
      </c>
      <c r="E97" s="479">
        <f t="shared" si="15"/>
        <v>0.31707317073170727</v>
      </c>
      <c r="F97" s="571">
        <f t="shared" si="16"/>
        <v>3804.878048780487</v>
      </c>
    </row>
    <row r="98" spans="1:7">
      <c r="A98" s="572" t="str">
        <f t="shared" si="11"/>
        <v>Hora extra</v>
      </c>
      <c r="B98" s="554">
        <f t="shared" si="12"/>
        <v>6000</v>
      </c>
      <c r="C98" s="232">
        <f t="shared" si="13"/>
        <v>7420</v>
      </c>
      <c r="D98" s="571">
        <f t="shared" si="14"/>
        <v>-1420</v>
      </c>
      <c r="E98" s="479">
        <f t="shared" si="15"/>
        <v>0.36585365853658536</v>
      </c>
      <c r="F98" s="571">
        <f t="shared" si="16"/>
        <v>2714.6341463414633</v>
      </c>
    </row>
    <row r="99" spans="1:7">
      <c r="A99" s="572" t="str">
        <f t="shared" si="11"/>
        <v>Boda</v>
      </c>
      <c r="B99" s="554">
        <f t="shared" si="12"/>
        <v>1500</v>
      </c>
      <c r="C99" s="232">
        <f t="shared" si="13"/>
        <v>10105</v>
      </c>
      <c r="D99" s="571">
        <f t="shared" si="14"/>
        <v>-8605</v>
      </c>
      <c r="E99" s="479">
        <f t="shared" si="15"/>
        <v>9.7560975609756087E-2</v>
      </c>
      <c r="F99" s="571">
        <f t="shared" si="16"/>
        <v>985.85365853658527</v>
      </c>
    </row>
    <row r="100" spans="1:7">
      <c r="A100" s="572" t="e">
        <f t="shared" si="11"/>
        <v>#REF!</v>
      </c>
      <c r="B100" s="554">
        <f t="shared" si="12"/>
        <v>0</v>
      </c>
      <c r="C100" s="232">
        <f t="shared" si="13"/>
        <v>10000</v>
      </c>
      <c r="D100" s="571">
        <f t="shared" si="14"/>
        <v>-10000</v>
      </c>
      <c r="E100" s="479">
        <f t="shared" si="15"/>
        <v>2.4390243902439022E-2</v>
      </c>
      <c r="F100" s="571">
        <f t="shared" si="16"/>
        <v>243.90243902439022</v>
      </c>
    </row>
    <row r="101" spans="1:7">
      <c r="A101" s="572" t="str">
        <f t="shared" si="11"/>
        <v>Club</v>
      </c>
      <c r="B101" s="554">
        <f t="shared" si="12"/>
        <v>0</v>
      </c>
      <c r="C101" s="232">
        <f t="shared" si="13"/>
        <v>10000</v>
      </c>
      <c r="D101" s="571">
        <f t="shared" si="14"/>
        <v>-10000</v>
      </c>
      <c r="E101" s="479">
        <f t="shared" si="15"/>
        <v>0</v>
      </c>
      <c r="F101" s="571">
        <f t="shared" si="16"/>
        <v>0</v>
      </c>
    </row>
    <row r="102" spans="1:7">
      <c r="A102" s="572" t="e">
        <f t="shared" si="11"/>
        <v>#REF!</v>
      </c>
      <c r="B102" s="554">
        <f t="shared" si="12"/>
        <v>0</v>
      </c>
      <c r="C102" s="232">
        <f t="shared" si="13"/>
        <v>10000</v>
      </c>
      <c r="D102" s="571">
        <f t="shared" si="14"/>
        <v>-10000</v>
      </c>
      <c r="E102" s="479">
        <f t="shared" si="15"/>
        <v>2.4390243902439022E-2</v>
      </c>
      <c r="F102" s="571">
        <f t="shared" si="16"/>
        <v>243.90243902439022</v>
      </c>
    </row>
    <row r="103" spans="1:7">
      <c r="A103" s="572">
        <f t="shared" si="11"/>
        <v>0</v>
      </c>
      <c r="B103" s="554">
        <f t="shared" si="12"/>
        <v>0</v>
      </c>
      <c r="C103" s="232">
        <f t="shared" si="13"/>
        <v>1000</v>
      </c>
      <c r="D103" s="571">
        <f t="shared" si="14"/>
        <v>-1000</v>
      </c>
      <c r="E103" s="479">
        <f t="shared" si="15"/>
        <v>2.4390243902439022E-2</v>
      </c>
      <c r="F103" s="571">
        <f t="shared" si="16"/>
        <v>24.390243902439021</v>
      </c>
    </row>
    <row r="104" spans="1:7">
      <c r="A104" s="572">
        <f t="shared" si="11"/>
        <v>0</v>
      </c>
      <c r="B104" s="554">
        <f t="shared" si="12"/>
        <v>0</v>
      </c>
      <c r="C104" s="232">
        <f t="shared" si="13"/>
        <v>0</v>
      </c>
      <c r="D104" s="571">
        <f t="shared" si="14"/>
        <v>0</v>
      </c>
      <c r="E104" s="479">
        <f t="shared" si="15"/>
        <v>0</v>
      </c>
      <c r="F104" s="571">
        <f t="shared" si="16"/>
        <v>0</v>
      </c>
    </row>
    <row r="105" spans="1:7">
      <c r="A105" s="572">
        <f t="shared" si="11"/>
        <v>0</v>
      </c>
      <c r="B105" s="554">
        <f t="shared" si="12"/>
        <v>0</v>
      </c>
      <c r="C105" s="232">
        <f t="shared" si="13"/>
        <v>0</v>
      </c>
      <c r="D105" s="571">
        <f t="shared" si="14"/>
        <v>0</v>
      </c>
      <c r="E105" s="479">
        <f t="shared" si="15"/>
        <v>0</v>
      </c>
      <c r="F105" s="571">
        <f t="shared" si="16"/>
        <v>0</v>
      </c>
    </row>
    <row r="106" spans="1:7">
      <c r="A106" s="572">
        <f t="shared" si="11"/>
        <v>0</v>
      </c>
      <c r="B106" s="554">
        <f t="shared" si="12"/>
        <v>0</v>
      </c>
      <c r="C106" s="232">
        <f t="shared" si="13"/>
        <v>0</v>
      </c>
      <c r="D106" s="571">
        <f t="shared" si="14"/>
        <v>0</v>
      </c>
      <c r="E106" s="479">
        <f t="shared" si="15"/>
        <v>0</v>
      </c>
      <c r="F106" s="571">
        <f t="shared" si="16"/>
        <v>0</v>
      </c>
    </row>
    <row r="107" spans="1:7">
      <c r="A107" s="572">
        <f t="shared" si="11"/>
        <v>0</v>
      </c>
      <c r="B107" s="554">
        <f t="shared" si="12"/>
        <v>0</v>
      </c>
      <c r="C107" s="232">
        <f t="shared" si="13"/>
        <v>0</v>
      </c>
      <c r="D107" s="571">
        <f t="shared" si="14"/>
        <v>0</v>
      </c>
      <c r="E107" s="479">
        <f t="shared" si="15"/>
        <v>0</v>
      </c>
      <c r="F107" s="571">
        <f t="shared" si="16"/>
        <v>0</v>
      </c>
    </row>
    <row r="108" spans="1:7">
      <c r="A108" s="281" t="s">
        <v>389</v>
      </c>
      <c r="B108" s="574"/>
      <c r="C108" s="486"/>
      <c r="D108" s="486"/>
      <c r="E108" s="486"/>
      <c r="F108" s="575">
        <f>SUM(F96:F107)</f>
        <v>9005.3658536585353</v>
      </c>
      <c r="G108" s="524"/>
    </row>
    <row r="109" spans="1:7">
      <c r="A109" s="578" t="s">
        <v>72</v>
      </c>
      <c r="B109" s="579">
        <f>F108</f>
        <v>9005.3658536585353</v>
      </c>
      <c r="C109" s="305"/>
      <c r="D109" s="305"/>
      <c r="E109" s="305"/>
      <c r="F109" s="305"/>
    </row>
    <row r="110" spans="1:7">
      <c r="A110" s="578" t="s">
        <v>286</v>
      </c>
      <c r="B110" s="580">
        <f>C60/C41</f>
        <v>31080.891428586663</v>
      </c>
      <c r="C110" s="305"/>
      <c r="D110" s="305"/>
      <c r="E110" s="305"/>
      <c r="F110" s="305"/>
    </row>
    <row r="111" spans="1:7" ht="16">
      <c r="A111" s="581" t="s">
        <v>71</v>
      </c>
      <c r="B111" s="582">
        <f>SUM(B109:B110)</f>
        <v>40086.257282245198</v>
      </c>
      <c r="C111" s="305"/>
      <c r="D111" s="305"/>
      <c r="E111" s="305"/>
      <c r="F111" s="305"/>
    </row>
    <row r="112" spans="1:7" ht="16">
      <c r="A112" s="544"/>
      <c r="B112" s="545"/>
      <c r="C112" s="305"/>
      <c r="D112" s="305"/>
      <c r="E112" s="305"/>
      <c r="F112" s="305"/>
    </row>
    <row r="113" spans="1:7" ht="12" customHeight="1" thickBot="1">
      <c r="A113" s="305"/>
      <c r="B113" s="305"/>
      <c r="C113" s="305"/>
      <c r="D113" s="305"/>
      <c r="E113" s="305"/>
      <c r="F113" s="305"/>
    </row>
    <row r="114" spans="1:7" ht="12" customHeight="1">
      <c r="A114" s="1246" t="s">
        <v>390</v>
      </c>
      <c r="B114" s="1247"/>
      <c r="C114" s="1247"/>
      <c r="D114" s="1247"/>
      <c r="E114" s="1247"/>
      <c r="F114" s="1248"/>
    </row>
    <row r="115" spans="1:7" ht="12" customHeight="1" thickBot="1">
      <c r="A115" s="1249"/>
      <c r="B115" s="1250"/>
      <c r="C115" s="1250"/>
      <c r="D115" s="1250"/>
      <c r="E115" s="1250"/>
      <c r="F115" s="1251"/>
    </row>
    <row r="116" spans="1:7" ht="14">
      <c r="A116" s="586" t="s">
        <v>280</v>
      </c>
      <c r="B116" s="586" t="s">
        <v>276</v>
      </c>
      <c r="C116" s="587" t="s">
        <v>277</v>
      </c>
      <c r="D116" s="587" t="s">
        <v>281</v>
      </c>
      <c r="E116" s="587" t="s">
        <v>278</v>
      </c>
      <c r="F116" s="587" t="s">
        <v>279</v>
      </c>
      <c r="G116" s="187" t="s">
        <v>31</v>
      </c>
    </row>
    <row r="117" spans="1:7">
      <c r="A117" s="573">
        <f>A76</f>
        <v>0</v>
      </c>
      <c r="B117" s="554">
        <f>B11</f>
        <v>25000</v>
      </c>
      <c r="C117" s="232">
        <f>B29</f>
        <v>6750</v>
      </c>
      <c r="D117" s="571">
        <f t="shared" ref="D117:D128" si="17">B117-C117</f>
        <v>18250</v>
      </c>
      <c r="E117" s="479">
        <f>C11/$C$23</f>
        <v>0.14634146341463414</v>
      </c>
      <c r="F117" s="571">
        <f t="shared" ref="F117:F128" si="18">D117*E117</f>
        <v>2670.731707317073</v>
      </c>
    </row>
    <row r="118" spans="1:7">
      <c r="A118" s="573" t="str">
        <f t="shared" ref="A118:A127" si="19">A77</f>
        <v>Welcome party</v>
      </c>
      <c r="B118" s="554">
        <f t="shared" ref="B118:B128" si="20">B12</f>
        <v>100000</v>
      </c>
      <c r="C118" s="232">
        <f t="shared" ref="C118:C128" si="21">B30</f>
        <v>12000</v>
      </c>
      <c r="D118" s="571">
        <f t="shared" si="17"/>
        <v>88000</v>
      </c>
      <c r="E118" s="479">
        <f t="shared" ref="E118:E128" si="22">C12/$C$23</f>
        <v>0.31707317073170727</v>
      </c>
      <c r="F118" s="571">
        <f t="shared" si="18"/>
        <v>27902.439024390238</v>
      </c>
    </row>
    <row r="119" spans="1:7">
      <c r="A119" s="573" t="str">
        <f>A78</f>
        <v>Hora extra</v>
      </c>
      <c r="B119" s="554">
        <f t="shared" si="20"/>
        <v>6000</v>
      </c>
      <c r="C119" s="232">
        <f t="shared" si="21"/>
        <v>7420</v>
      </c>
      <c r="D119" s="571">
        <f t="shared" si="17"/>
        <v>-1420</v>
      </c>
      <c r="E119" s="479">
        <f t="shared" si="22"/>
        <v>0.36585365853658536</v>
      </c>
      <c r="F119" s="571">
        <f t="shared" si="18"/>
        <v>-519.51219512195121</v>
      </c>
    </row>
    <row r="120" spans="1:7">
      <c r="A120" s="573" t="str">
        <f t="shared" si="19"/>
        <v>Boda</v>
      </c>
      <c r="B120" s="554">
        <f t="shared" si="20"/>
        <v>1500</v>
      </c>
      <c r="C120" s="232">
        <f t="shared" si="21"/>
        <v>10105</v>
      </c>
      <c r="D120" s="571">
        <f t="shared" si="17"/>
        <v>-8605</v>
      </c>
      <c r="E120" s="479">
        <f t="shared" si="22"/>
        <v>9.7560975609756087E-2</v>
      </c>
      <c r="F120" s="571">
        <f t="shared" si="18"/>
        <v>-839.51219512195109</v>
      </c>
    </row>
    <row r="121" spans="1:7">
      <c r="A121" s="573" t="e">
        <f t="shared" si="19"/>
        <v>#REF!</v>
      </c>
      <c r="B121" s="554">
        <f t="shared" si="20"/>
        <v>0</v>
      </c>
      <c r="C121" s="232">
        <f t="shared" si="21"/>
        <v>10000</v>
      </c>
      <c r="D121" s="571">
        <f t="shared" si="17"/>
        <v>-10000</v>
      </c>
      <c r="E121" s="479">
        <f t="shared" si="22"/>
        <v>2.4390243902439022E-2</v>
      </c>
      <c r="F121" s="571">
        <f t="shared" si="18"/>
        <v>-243.90243902439022</v>
      </c>
    </row>
    <row r="122" spans="1:7">
      <c r="A122" s="573" t="str">
        <f t="shared" si="19"/>
        <v>Club</v>
      </c>
      <c r="B122" s="554">
        <f t="shared" si="20"/>
        <v>0</v>
      </c>
      <c r="C122" s="232">
        <f t="shared" si="21"/>
        <v>10000</v>
      </c>
      <c r="D122" s="571">
        <f t="shared" si="17"/>
        <v>-10000</v>
      </c>
      <c r="E122" s="479">
        <f t="shared" si="22"/>
        <v>0</v>
      </c>
      <c r="F122" s="571">
        <f t="shared" si="18"/>
        <v>0</v>
      </c>
    </row>
    <row r="123" spans="1:7">
      <c r="A123" s="573" t="e">
        <f t="shared" si="19"/>
        <v>#REF!</v>
      </c>
      <c r="B123" s="554">
        <f t="shared" si="20"/>
        <v>0</v>
      </c>
      <c r="C123" s="232">
        <f t="shared" si="21"/>
        <v>10000</v>
      </c>
      <c r="D123" s="571">
        <f t="shared" si="17"/>
        <v>-10000</v>
      </c>
      <c r="E123" s="479">
        <f t="shared" si="22"/>
        <v>2.4390243902439022E-2</v>
      </c>
      <c r="F123" s="571">
        <f t="shared" si="18"/>
        <v>-243.90243902439022</v>
      </c>
    </row>
    <row r="124" spans="1:7">
      <c r="A124" s="573">
        <f t="shared" si="19"/>
        <v>0</v>
      </c>
      <c r="B124" s="554">
        <f t="shared" si="20"/>
        <v>0</v>
      </c>
      <c r="C124" s="232">
        <f t="shared" si="21"/>
        <v>1000</v>
      </c>
      <c r="D124" s="571">
        <f t="shared" si="17"/>
        <v>-1000</v>
      </c>
      <c r="E124" s="479">
        <f t="shared" si="22"/>
        <v>2.4390243902439022E-2</v>
      </c>
      <c r="F124" s="571">
        <f t="shared" si="18"/>
        <v>-24.390243902439021</v>
      </c>
    </row>
    <row r="125" spans="1:7">
      <c r="A125" s="573">
        <f t="shared" si="19"/>
        <v>0</v>
      </c>
      <c r="B125" s="554">
        <f t="shared" si="20"/>
        <v>0</v>
      </c>
      <c r="C125" s="232">
        <f t="shared" si="21"/>
        <v>0</v>
      </c>
      <c r="D125" s="571">
        <f t="shared" si="17"/>
        <v>0</v>
      </c>
      <c r="E125" s="479">
        <f t="shared" si="22"/>
        <v>0</v>
      </c>
      <c r="F125" s="571">
        <f t="shared" si="18"/>
        <v>0</v>
      </c>
    </row>
    <row r="126" spans="1:7">
      <c r="A126" s="573">
        <f t="shared" si="19"/>
        <v>0</v>
      </c>
      <c r="B126" s="554">
        <f t="shared" si="20"/>
        <v>0</v>
      </c>
      <c r="C126" s="232">
        <f t="shared" si="21"/>
        <v>0</v>
      </c>
      <c r="D126" s="571">
        <f t="shared" si="17"/>
        <v>0</v>
      </c>
      <c r="E126" s="479">
        <f t="shared" si="22"/>
        <v>0</v>
      </c>
      <c r="F126" s="571">
        <f t="shared" si="18"/>
        <v>0</v>
      </c>
    </row>
    <row r="127" spans="1:7">
      <c r="A127" s="573">
        <f t="shared" si="19"/>
        <v>0</v>
      </c>
      <c r="B127" s="554">
        <f t="shared" si="20"/>
        <v>0</v>
      </c>
      <c r="C127" s="232">
        <f t="shared" si="21"/>
        <v>0</v>
      </c>
      <c r="D127" s="571">
        <f t="shared" si="17"/>
        <v>0</v>
      </c>
      <c r="E127" s="479">
        <f t="shared" si="22"/>
        <v>0</v>
      </c>
      <c r="F127" s="571">
        <f t="shared" si="18"/>
        <v>0</v>
      </c>
    </row>
    <row r="128" spans="1:7" ht="14" thickBot="1">
      <c r="A128" s="573">
        <f>A87</f>
        <v>0</v>
      </c>
      <c r="B128" s="554">
        <f t="shared" si="20"/>
        <v>0</v>
      </c>
      <c r="C128" s="232">
        <f t="shared" si="21"/>
        <v>0</v>
      </c>
      <c r="D128" s="571">
        <f t="shared" si="17"/>
        <v>0</v>
      </c>
      <c r="E128" s="479">
        <f t="shared" si="22"/>
        <v>0</v>
      </c>
      <c r="F128" s="571">
        <f t="shared" si="18"/>
        <v>0</v>
      </c>
    </row>
    <row r="129" spans="1:6" ht="14" thickBot="1">
      <c r="A129" s="576" t="s">
        <v>263</v>
      </c>
      <c r="B129" s="577">
        <f>SUM(B117:B128)</f>
        <v>132500</v>
      </c>
      <c r="C129" s="564"/>
      <c r="D129" s="564"/>
      <c r="E129" s="565"/>
      <c r="F129" s="566">
        <f>SUM(F117:F128)</f>
        <v>28701.95121951219</v>
      </c>
    </row>
    <row r="130" spans="1:6" ht="17" thickBot="1">
      <c r="A130" s="583" t="s">
        <v>391</v>
      </c>
      <c r="B130" s="584">
        <f>F129</f>
        <v>28701.95121951219</v>
      </c>
      <c r="C130" s="305"/>
      <c r="D130" s="305"/>
      <c r="E130" s="305"/>
      <c r="F130" s="305"/>
    </row>
    <row r="131" spans="1:6" ht="16">
      <c r="A131" s="544"/>
      <c r="B131" s="545"/>
      <c r="C131" s="305"/>
      <c r="D131" s="305"/>
      <c r="E131" s="305"/>
      <c r="F131" s="305"/>
    </row>
    <row r="132" spans="1:6">
      <c r="A132" s="305"/>
      <c r="B132" s="305"/>
      <c r="C132" s="305"/>
      <c r="D132" s="305"/>
      <c r="E132" s="305"/>
      <c r="F132" s="305"/>
    </row>
    <row r="133" spans="1:6">
      <c r="A133" s="305"/>
      <c r="B133" s="305"/>
      <c r="C133" s="305"/>
      <c r="D133" s="305"/>
      <c r="E133" s="305"/>
      <c r="F133" s="305"/>
    </row>
    <row r="134" spans="1:6">
      <c r="A134" s="305"/>
      <c r="B134" s="305"/>
      <c r="C134" s="305"/>
      <c r="D134" s="305"/>
      <c r="E134" s="305"/>
      <c r="F134" s="305"/>
    </row>
    <row r="135" spans="1:6">
      <c r="A135" s="305"/>
      <c r="B135" s="305"/>
      <c r="C135" s="305"/>
      <c r="D135" s="305"/>
      <c r="E135" s="305"/>
      <c r="F135" s="305"/>
    </row>
    <row r="136" spans="1:6">
      <c r="A136" s="305"/>
      <c r="B136" s="305"/>
      <c r="C136" s="305"/>
      <c r="D136" s="305"/>
      <c r="E136" s="305"/>
      <c r="F136" s="305"/>
    </row>
    <row r="137" spans="1:6">
      <c r="A137" s="305"/>
      <c r="B137" s="305"/>
      <c r="C137" s="305"/>
      <c r="D137" s="305"/>
      <c r="E137" s="305"/>
      <c r="F137" s="305"/>
    </row>
    <row r="138" spans="1:6">
      <c r="A138" s="305"/>
      <c r="B138" s="305"/>
      <c r="C138" s="305"/>
      <c r="D138" s="305"/>
      <c r="E138" s="305"/>
      <c r="F138" s="305"/>
    </row>
    <row r="139" spans="1:6">
      <c r="A139" s="305"/>
      <c r="B139" s="305"/>
      <c r="C139" s="305"/>
      <c r="D139" s="305"/>
      <c r="E139" s="305"/>
      <c r="F139" s="305"/>
    </row>
    <row r="140" spans="1:6">
      <c r="A140" s="305"/>
      <c r="B140" s="305"/>
      <c r="C140" s="305"/>
      <c r="D140" s="305"/>
      <c r="E140" s="305"/>
      <c r="F140" s="305"/>
    </row>
    <row r="141" spans="1:6">
      <c r="A141" s="305"/>
      <c r="B141" s="305"/>
      <c r="C141" s="305"/>
    </row>
  </sheetData>
  <mergeCells count="22">
    <mergeCell ref="A114:F115"/>
    <mergeCell ref="A93:F94"/>
    <mergeCell ref="A27:A28"/>
    <mergeCell ref="F27:F28"/>
    <mergeCell ref="B27:B28"/>
    <mergeCell ref="A71:F71"/>
    <mergeCell ref="E27:E28"/>
    <mergeCell ref="A45:E45"/>
    <mergeCell ref="A26:F26"/>
    <mergeCell ref="A2:F2"/>
    <mergeCell ref="A73:F74"/>
    <mergeCell ref="A5:F5"/>
    <mergeCell ref="E9:E10"/>
    <mergeCell ref="D27:D28"/>
    <mergeCell ref="C9:C10"/>
    <mergeCell ref="C27:C28"/>
    <mergeCell ref="B9:B10"/>
    <mergeCell ref="A64:E64"/>
    <mergeCell ref="A8:F8"/>
    <mergeCell ref="D9:D10"/>
    <mergeCell ref="A9:A10"/>
    <mergeCell ref="F9:F10"/>
  </mergeCells>
  <phoneticPr fontId="0" type="noConversion"/>
  <pageMargins left="0.75" right="0.75" top="1" bottom="1" header="0" footer="0"/>
  <pageSetup paperSize="9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Z151"/>
  <sheetViews>
    <sheetView zoomScaleNormal="100" zoomScaleSheetLayoutView="100" workbookViewId="0">
      <selection sqref="A1:O1"/>
    </sheetView>
  </sheetViews>
  <sheetFormatPr baseColWidth="10" defaultColWidth="11.5" defaultRowHeight="11"/>
  <cols>
    <col min="1" max="1" width="20.83203125" style="65" customWidth="1"/>
    <col min="2" max="3" width="16.1640625" style="65" customWidth="1"/>
    <col min="4" max="4" width="16.6640625" style="65" customWidth="1"/>
    <col min="5" max="5" width="16.1640625" style="65" customWidth="1"/>
    <col min="6" max="6" width="15.1640625" style="65" customWidth="1"/>
    <col min="7" max="7" width="18.6640625" style="65" customWidth="1"/>
    <col min="8" max="8" width="17.6640625" style="65" customWidth="1"/>
    <col min="9" max="9" width="18.5" style="65" customWidth="1"/>
    <col min="10" max="10" width="19.83203125" style="65" customWidth="1"/>
    <col min="11" max="11" width="16.83203125" style="65" customWidth="1"/>
    <col min="12" max="12" width="17" style="65" customWidth="1"/>
    <col min="13" max="13" width="17.6640625" style="65" customWidth="1"/>
    <col min="14" max="14" width="16.1640625" style="65" customWidth="1"/>
    <col min="15" max="15" width="16.6640625" style="65" customWidth="1"/>
    <col min="16" max="16" width="14.1640625" style="65" bestFit="1" customWidth="1"/>
    <col min="17" max="17" width="12.83203125" style="65" bestFit="1" customWidth="1"/>
    <col min="18" max="16384" width="11.5" style="65"/>
  </cols>
  <sheetData>
    <row r="1" spans="1:24" ht="14" thickBot="1">
      <c r="A1" s="1269">
        <f>'Concent, Vtas, CdeV, Gastos A1'!A2:F2</f>
        <v>0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69"/>
      <c r="N1" s="1269"/>
      <c r="O1" s="1269"/>
    </row>
    <row r="2" spans="1:24" ht="16" thickBot="1">
      <c r="A2" s="1270" t="s">
        <v>218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  <c r="O2" s="1272"/>
      <c r="P2" s="64"/>
      <c r="Q2" s="64"/>
      <c r="R2" s="64"/>
      <c r="S2" s="64"/>
      <c r="T2" s="64"/>
      <c r="U2" s="64"/>
      <c r="V2" s="64"/>
      <c r="W2" s="64"/>
      <c r="X2" s="64"/>
    </row>
    <row r="3" spans="1:24">
      <c r="A3" s="1273" t="s">
        <v>1</v>
      </c>
      <c r="B3" s="1275" t="s">
        <v>136</v>
      </c>
      <c r="C3" s="1275" t="s">
        <v>38</v>
      </c>
      <c r="D3" s="1275" t="s">
        <v>39</v>
      </c>
      <c r="E3" s="1275" t="s">
        <v>40</v>
      </c>
      <c r="F3" s="1275" t="s">
        <v>41</v>
      </c>
      <c r="G3" s="1275" t="s">
        <v>42</v>
      </c>
      <c r="H3" s="1275" t="s">
        <v>43</v>
      </c>
      <c r="I3" s="1275" t="s">
        <v>44</v>
      </c>
      <c r="J3" s="1275" t="s">
        <v>45</v>
      </c>
      <c r="K3" s="1275" t="s">
        <v>46</v>
      </c>
      <c r="L3" s="1275" t="s">
        <v>47</v>
      </c>
      <c r="M3" s="1275" t="s">
        <v>48</v>
      </c>
      <c r="N3" s="1275" t="s">
        <v>49</v>
      </c>
      <c r="O3" s="1277" t="s">
        <v>35</v>
      </c>
      <c r="P3" s="64"/>
      <c r="Q3" s="64"/>
      <c r="R3" s="64"/>
      <c r="S3" s="64"/>
      <c r="T3" s="64"/>
      <c r="U3" s="64"/>
      <c r="V3" s="64"/>
      <c r="W3" s="64"/>
      <c r="X3" s="64"/>
    </row>
    <row r="4" spans="1:24" ht="12" thickBot="1">
      <c r="A4" s="1274"/>
      <c r="B4" s="1276"/>
      <c r="C4" s="1276"/>
      <c r="D4" s="1276" t="s">
        <v>39</v>
      </c>
      <c r="E4" s="1276" t="s">
        <v>40</v>
      </c>
      <c r="F4" s="1276" t="s">
        <v>41</v>
      </c>
      <c r="G4" s="1276" t="s">
        <v>42</v>
      </c>
      <c r="H4" s="1276" t="s">
        <v>43</v>
      </c>
      <c r="I4" s="1276" t="s">
        <v>44</v>
      </c>
      <c r="J4" s="1276" t="s">
        <v>45</v>
      </c>
      <c r="K4" s="1276" t="s">
        <v>46</v>
      </c>
      <c r="L4" s="1276" t="s">
        <v>47</v>
      </c>
      <c r="M4" s="1276" t="s">
        <v>48</v>
      </c>
      <c r="N4" s="1276" t="s">
        <v>49</v>
      </c>
      <c r="O4" s="1278"/>
      <c r="P4" s="131" t="s">
        <v>355</v>
      </c>
      <c r="Q4" s="64"/>
      <c r="R4" s="64"/>
      <c r="S4" s="64"/>
      <c r="T4" s="64"/>
      <c r="U4" s="64"/>
      <c r="V4" s="64"/>
      <c r="W4" s="64"/>
      <c r="X4" s="64"/>
    </row>
    <row r="5" spans="1:24" ht="17" customHeight="1" thickTop="1">
      <c r="A5" s="120" t="s">
        <v>217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121"/>
      <c r="P5" s="64"/>
      <c r="Q5" s="64"/>
      <c r="R5" s="64"/>
      <c r="S5" s="64"/>
      <c r="T5" s="64"/>
      <c r="U5" s="64"/>
      <c r="V5" s="64"/>
      <c r="W5" s="64"/>
      <c r="X5" s="64"/>
    </row>
    <row r="6" spans="1:24" ht="17" customHeight="1">
      <c r="A6" s="122" t="s">
        <v>360</v>
      </c>
      <c r="B6" s="67">
        <f>'Balance Inic'!C31</f>
        <v>6975473.1371430131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123">
        <f>SUM(C6:N6)</f>
        <v>0</v>
      </c>
      <c r="P6" s="64"/>
      <c r="Q6" s="64"/>
      <c r="R6" s="64"/>
      <c r="S6" s="64"/>
      <c r="T6" s="64"/>
      <c r="U6" s="64"/>
      <c r="V6" s="64"/>
      <c r="W6" s="64"/>
      <c r="X6" s="64"/>
    </row>
    <row r="7" spans="1:24" ht="17" customHeight="1">
      <c r="A7" s="122" t="s">
        <v>214</v>
      </c>
      <c r="B7" s="67">
        <f>INVERSION!B64</f>
        <v>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123">
        <f>SUM(C7:N7)</f>
        <v>0</v>
      </c>
      <c r="P7" s="64"/>
      <c r="Q7" s="64"/>
      <c r="R7" s="64"/>
      <c r="S7" s="64"/>
      <c r="T7" s="64"/>
      <c r="U7" s="64"/>
      <c r="V7" s="64"/>
      <c r="W7" s="64"/>
      <c r="X7" s="64"/>
    </row>
    <row r="8" spans="1:24" ht="17" customHeight="1">
      <c r="A8" s="122" t="s">
        <v>12</v>
      </c>
      <c r="B8" s="67"/>
      <c r="C8" s="67">
        <f>Pres.Ventas!C63</f>
        <v>0</v>
      </c>
      <c r="D8" s="67">
        <f>Pres.Ventas!D63</f>
        <v>25000</v>
      </c>
      <c r="E8" s="67">
        <f>Pres.Ventas!E63</f>
        <v>31000</v>
      </c>
      <c r="F8" s="67">
        <f>Pres.Ventas!F63</f>
        <v>101500</v>
      </c>
      <c r="G8" s="67">
        <f>Pres.Ventas!G63</f>
        <v>0</v>
      </c>
      <c r="H8" s="67">
        <f>Pres.Ventas!H63</f>
        <v>6000</v>
      </c>
      <c r="I8" s="67">
        <f>Pres.Ventas!I63</f>
        <v>1500</v>
      </c>
      <c r="J8" s="67">
        <f>Pres.Ventas!J63</f>
        <v>6000</v>
      </c>
      <c r="K8" s="67">
        <f>Pres.Ventas!K63</f>
        <v>1500</v>
      </c>
      <c r="L8" s="67">
        <f>Pres.Ventas!L63</f>
        <v>0</v>
      </c>
      <c r="M8" s="67">
        <f>Pres.Ventas!M63</f>
        <v>687500</v>
      </c>
      <c r="N8" s="67">
        <f>Pres.Ventas!N63</f>
        <v>295000</v>
      </c>
      <c r="O8" s="123">
        <f>SUM(C8:N8)</f>
        <v>1155000</v>
      </c>
      <c r="P8" s="64"/>
      <c r="Q8" s="64"/>
      <c r="R8" s="64"/>
      <c r="S8" s="64"/>
      <c r="T8" s="64"/>
      <c r="U8" s="64"/>
      <c r="V8" s="64"/>
      <c r="W8" s="64"/>
      <c r="X8" s="64"/>
    </row>
    <row r="9" spans="1:24" ht="17" customHeight="1">
      <c r="A9" s="786" t="s">
        <v>13</v>
      </c>
      <c r="B9" s="787">
        <f>SUM(B5:B8)</f>
        <v>6975473.1371430131</v>
      </c>
      <c r="C9" s="787">
        <f>SUM(C6:C8)</f>
        <v>0</v>
      </c>
      <c r="D9" s="787">
        <f t="shared" ref="D9:N9" si="0">SUM(D6:D8)</f>
        <v>25000</v>
      </c>
      <c r="E9" s="787">
        <f t="shared" si="0"/>
        <v>31000</v>
      </c>
      <c r="F9" s="787">
        <f t="shared" si="0"/>
        <v>101500</v>
      </c>
      <c r="G9" s="787">
        <f t="shared" si="0"/>
        <v>0</v>
      </c>
      <c r="H9" s="787">
        <f t="shared" si="0"/>
        <v>6000</v>
      </c>
      <c r="I9" s="787">
        <f t="shared" si="0"/>
        <v>1500</v>
      </c>
      <c r="J9" s="787">
        <f t="shared" si="0"/>
        <v>6000</v>
      </c>
      <c r="K9" s="787">
        <f t="shared" si="0"/>
        <v>1500</v>
      </c>
      <c r="L9" s="787">
        <f t="shared" si="0"/>
        <v>0</v>
      </c>
      <c r="M9" s="787">
        <f t="shared" si="0"/>
        <v>687500</v>
      </c>
      <c r="N9" s="787">
        <f t="shared" si="0"/>
        <v>295000</v>
      </c>
      <c r="O9" s="788">
        <f>SUM(O6:O8)</f>
        <v>1155000</v>
      </c>
      <c r="P9" s="64"/>
      <c r="Q9" s="64"/>
      <c r="R9" s="64"/>
      <c r="S9" s="64"/>
      <c r="T9" s="64"/>
      <c r="U9" s="64"/>
      <c r="V9" s="64"/>
      <c r="W9" s="64"/>
      <c r="X9" s="64"/>
    </row>
    <row r="10" spans="1:24" ht="17" customHeight="1">
      <c r="A10" s="122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123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17" customHeight="1">
      <c r="A11" s="124" t="s">
        <v>14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23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17" customHeight="1">
      <c r="A12" s="122" t="s">
        <v>349</v>
      </c>
      <c r="B12" s="67">
        <f>'Balance Inic'!B6</f>
        <v>0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123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17" customHeight="1">
      <c r="A13" s="122" t="s">
        <v>359</v>
      </c>
      <c r="B13" s="67">
        <f>INVERSION!D59-INVERSION!D49</f>
        <v>6656894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123">
        <f>SUM(C13:N13)</f>
        <v>0</v>
      </c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17" customHeight="1">
      <c r="A14" s="122" t="s">
        <v>332</v>
      </c>
      <c r="B14" s="67"/>
      <c r="C14" s="67">
        <f>'Pres. de compras año 1'!C42</f>
        <v>0</v>
      </c>
      <c r="D14" s="67">
        <f>'Pres. de compras año 1'!D42</f>
        <v>6750</v>
      </c>
      <c r="E14" s="67">
        <f>'Pres. de compras año 1'!E42</f>
        <v>14170</v>
      </c>
      <c r="F14" s="67">
        <f>'Pres. de compras año 1'!F42</f>
        <v>22105</v>
      </c>
      <c r="G14" s="67">
        <f>'Pres. de compras año 1'!G42</f>
        <v>1000</v>
      </c>
      <c r="H14" s="67">
        <f>'Pres. de compras año 1'!H42</f>
        <v>7420</v>
      </c>
      <c r="I14" s="67">
        <f>'Pres. de compras año 1'!I42</f>
        <v>10105</v>
      </c>
      <c r="J14" s="67">
        <f>'Pres. de compras año 1'!J42</f>
        <v>17420</v>
      </c>
      <c r="K14" s="67">
        <f>'Pres. de compras año 1'!K42</f>
        <v>10105</v>
      </c>
      <c r="L14" s="67">
        <f>'Pres. de compras año 1'!L42</f>
        <v>10000</v>
      </c>
      <c r="M14" s="67">
        <f>'Pres. de compras año 1'!M42</f>
        <v>140125</v>
      </c>
      <c r="N14" s="67" t="e">
        <f>'Pres. de compras año 1'!N42</f>
        <v>#REF!</v>
      </c>
      <c r="O14" s="123" t="e">
        <f>SUM(C14:N14)</f>
        <v>#REF!</v>
      </c>
      <c r="P14" s="123"/>
      <c r="Q14" s="64"/>
      <c r="R14" s="64"/>
      <c r="S14" s="64"/>
      <c r="T14" s="64"/>
      <c r="U14" s="64"/>
      <c r="V14" s="64"/>
      <c r="W14" s="64"/>
      <c r="X14" s="64"/>
    </row>
    <row r="15" spans="1:24" ht="28" customHeight="1">
      <c r="A15" s="122" t="s">
        <v>333</v>
      </c>
      <c r="B15" s="67"/>
      <c r="C15" s="67">
        <f>'Pres. Costos Fijos año 1'!B21</f>
        <v>106193.04571433777</v>
      </c>
      <c r="D15" s="67">
        <f>'Pres. Costos Fijos año 1'!C21</f>
        <v>106193.04571433777</v>
      </c>
      <c r="E15" s="67">
        <f>'Pres. Costos Fijos año 1'!D21</f>
        <v>106193.04571433777</v>
      </c>
      <c r="F15" s="67">
        <f>'Pres. Costos Fijos año 1'!E21</f>
        <v>106193.04571433777</v>
      </c>
      <c r="G15" s="67">
        <f>'Pres. Costos Fijos año 1'!F21</f>
        <v>106193.04571433777</v>
      </c>
      <c r="H15" s="67">
        <f>'Pres. Costos Fijos año 1'!G21</f>
        <v>106193.04571433777</v>
      </c>
      <c r="I15" s="67">
        <f>'Pres. Costos Fijos año 1'!H21</f>
        <v>96193.045714337772</v>
      </c>
      <c r="J15" s="67">
        <f>'Pres. Costos Fijos año 1'!I21</f>
        <v>96193.045714337772</v>
      </c>
      <c r="K15" s="67">
        <f>'Pres. Costos Fijos año 1'!J21</f>
        <v>96193.045714337772</v>
      </c>
      <c r="L15" s="67">
        <f>'Pres. Costos Fijos año 1'!K21</f>
        <v>96193.045714337772</v>
      </c>
      <c r="M15" s="67">
        <f>'Pres. Costos Fijos año 1'!L21</f>
        <v>96193.045714337772</v>
      </c>
      <c r="N15" s="67">
        <f>'Pres. Costos Fijos año 1'!M21</f>
        <v>118389.0479596364</v>
      </c>
      <c r="O15" s="123">
        <f>SUM(C15:N15)</f>
        <v>1236512.5508173518</v>
      </c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17" customHeight="1">
      <c r="A16" s="12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123"/>
      <c r="P16" s="64"/>
      <c r="Q16" s="64"/>
      <c r="R16" s="64"/>
      <c r="S16" s="64"/>
      <c r="T16" s="64"/>
      <c r="U16" s="64"/>
      <c r="V16" s="64"/>
      <c r="W16" s="64"/>
      <c r="X16" s="64"/>
    </row>
    <row r="17" spans="1:26" ht="17" customHeight="1">
      <c r="A17" s="786" t="s">
        <v>138</v>
      </c>
      <c r="B17" s="787">
        <f>SUM(B12:B15)</f>
        <v>6656894</v>
      </c>
      <c r="C17" s="787">
        <f t="shared" ref="C17:O17" si="1">SUM(C13:C15)</f>
        <v>106193.04571433777</v>
      </c>
      <c r="D17" s="787">
        <f t="shared" si="1"/>
        <v>112943.04571433777</v>
      </c>
      <c r="E17" s="787">
        <f t="shared" si="1"/>
        <v>120363.04571433777</v>
      </c>
      <c r="F17" s="787">
        <f t="shared" si="1"/>
        <v>128298.04571433777</v>
      </c>
      <c r="G17" s="787">
        <f t="shared" si="1"/>
        <v>107193.04571433777</v>
      </c>
      <c r="H17" s="787">
        <f t="shared" si="1"/>
        <v>113613.04571433777</v>
      </c>
      <c r="I17" s="787">
        <f t="shared" si="1"/>
        <v>106298.04571433777</v>
      </c>
      <c r="J17" s="787">
        <f t="shared" si="1"/>
        <v>113613.04571433777</v>
      </c>
      <c r="K17" s="787">
        <f t="shared" si="1"/>
        <v>106298.04571433777</v>
      </c>
      <c r="L17" s="787">
        <f t="shared" si="1"/>
        <v>106193.04571433777</v>
      </c>
      <c r="M17" s="787">
        <f t="shared" si="1"/>
        <v>236318.04571433779</v>
      </c>
      <c r="N17" s="787" t="e">
        <f t="shared" si="1"/>
        <v>#REF!</v>
      </c>
      <c r="O17" s="788" t="e">
        <f t="shared" si="1"/>
        <v>#REF!</v>
      </c>
      <c r="P17" s="68"/>
      <c r="Q17" s="68"/>
      <c r="R17" s="68"/>
      <c r="S17" s="68"/>
      <c r="T17" s="68"/>
      <c r="U17" s="68"/>
      <c r="V17" s="68"/>
      <c r="W17" s="68"/>
      <c r="X17" s="68"/>
      <c r="Y17" s="69">
        <f>SUM(Y14:Y15)</f>
        <v>0</v>
      </c>
      <c r="Z17" s="69">
        <f>SUM(Z14:Z15)</f>
        <v>0</v>
      </c>
    </row>
    <row r="18" spans="1:26" ht="17" customHeight="1">
      <c r="A18" s="125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123"/>
      <c r="P18" s="64"/>
      <c r="Q18" s="64"/>
      <c r="R18" s="64"/>
      <c r="S18" s="64"/>
      <c r="T18" s="64"/>
      <c r="U18" s="64"/>
      <c r="V18" s="64"/>
      <c r="W18" s="64"/>
      <c r="X18" s="64"/>
    </row>
    <row r="19" spans="1:26" ht="17" customHeight="1">
      <c r="A19" s="122" t="s">
        <v>215</v>
      </c>
      <c r="B19" s="67"/>
      <c r="C19" s="67">
        <f>'Pago Financiamto'!G14</f>
        <v>0</v>
      </c>
      <c r="D19" s="67">
        <f>'Pago Financiamto'!G15</f>
        <v>0</v>
      </c>
      <c r="E19" s="67">
        <f>'Pago Financiamto'!G16</f>
        <v>0</v>
      </c>
      <c r="F19" s="67">
        <f>'Pago Financiamto'!G17</f>
        <v>0</v>
      </c>
      <c r="G19" s="67">
        <f>'Pago Financiamto'!G18</f>
        <v>0</v>
      </c>
      <c r="H19" s="67">
        <f>'Pago Financiamto'!G19</f>
        <v>0</v>
      </c>
      <c r="I19" s="67">
        <f>'Pago Financiamto'!G20</f>
        <v>0</v>
      </c>
      <c r="J19" s="67">
        <f>'Pago Financiamto'!G21</f>
        <v>0</v>
      </c>
      <c r="K19" s="67">
        <f>'Pago Financiamto'!G22</f>
        <v>0</v>
      </c>
      <c r="L19" s="67">
        <f>'Pago Financiamto'!G23</f>
        <v>0</v>
      </c>
      <c r="M19" s="67">
        <f>'Pago Financiamto'!G24</f>
        <v>0</v>
      </c>
      <c r="N19" s="67">
        <f>'Pago Financiamto'!G25</f>
        <v>0</v>
      </c>
      <c r="O19" s="123">
        <f>SUM(C19:N19)</f>
        <v>0</v>
      </c>
      <c r="P19" s="64"/>
      <c r="Q19" s="64"/>
      <c r="R19" s="64"/>
      <c r="S19" s="64"/>
      <c r="T19" s="64"/>
      <c r="U19" s="64"/>
      <c r="V19" s="64"/>
      <c r="W19" s="64"/>
      <c r="X19" s="64"/>
    </row>
    <row r="20" spans="1:26" ht="22.5" customHeight="1">
      <c r="A20" s="122" t="s">
        <v>216</v>
      </c>
      <c r="B20" s="67"/>
      <c r="C20" s="67">
        <f>'Pago Financiamto'!F14</f>
        <v>0</v>
      </c>
      <c r="D20" s="67">
        <f>'Pago Financiamto'!F15</f>
        <v>0</v>
      </c>
      <c r="E20" s="67">
        <f>'Pago Financiamto'!F16</f>
        <v>0</v>
      </c>
      <c r="F20" s="67">
        <f>'Pago Financiamto'!$F$17</f>
        <v>0</v>
      </c>
      <c r="G20" s="67">
        <f>'Pago Financiamto'!$F$18</f>
        <v>0</v>
      </c>
      <c r="H20" s="67">
        <f>'Pago Financiamto'!$F$19</f>
        <v>0</v>
      </c>
      <c r="I20" s="67">
        <f>'Pago Financiamto'!$F$20</f>
        <v>0</v>
      </c>
      <c r="J20" s="67">
        <f>'Pago Financiamto'!$F$21</f>
        <v>0</v>
      </c>
      <c r="K20" s="67">
        <f>'Pago Financiamto'!$F$22</f>
        <v>0</v>
      </c>
      <c r="L20" s="67">
        <f>'Pago Financiamto'!$F$23</f>
        <v>0</v>
      </c>
      <c r="M20" s="67">
        <f>'Pago Financiamto'!$F$24</f>
        <v>0</v>
      </c>
      <c r="N20" s="67">
        <f>'Pago Financiamto'!$F$25</f>
        <v>0</v>
      </c>
      <c r="O20" s="123">
        <f>SUM(C20:N20)</f>
        <v>0</v>
      </c>
      <c r="P20" s="64"/>
      <c r="Q20" s="64"/>
      <c r="R20" s="64"/>
      <c r="S20" s="64"/>
      <c r="T20" s="64"/>
      <c r="U20" s="64"/>
      <c r="V20" s="64"/>
      <c r="W20" s="64"/>
      <c r="X20" s="64"/>
    </row>
    <row r="21" spans="1:26" ht="17" customHeight="1">
      <c r="A21" s="122" t="s">
        <v>140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123"/>
      <c r="P21" s="64"/>
      <c r="Q21" s="64"/>
      <c r="R21" s="64"/>
      <c r="S21" s="64"/>
      <c r="T21" s="64"/>
      <c r="U21" s="64"/>
      <c r="V21" s="64"/>
      <c r="W21" s="64"/>
      <c r="X21" s="64"/>
    </row>
    <row r="22" spans="1:26" ht="17" customHeight="1">
      <c r="A22" s="786" t="s">
        <v>18</v>
      </c>
      <c r="B22" s="787">
        <f t="shared" ref="B22:O22" si="2">SUM(B17:B21)</f>
        <v>6656894</v>
      </c>
      <c r="C22" s="787">
        <f t="shared" si="2"/>
        <v>106193.04571433777</v>
      </c>
      <c r="D22" s="787">
        <f t="shared" si="2"/>
        <v>112943.04571433777</v>
      </c>
      <c r="E22" s="787">
        <f t="shared" si="2"/>
        <v>120363.04571433777</v>
      </c>
      <c r="F22" s="787">
        <f t="shared" si="2"/>
        <v>128298.04571433777</v>
      </c>
      <c r="G22" s="787">
        <f t="shared" si="2"/>
        <v>107193.04571433777</v>
      </c>
      <c r="H22" s="787">
        <f t="shared" si="2"/>
        <v>113613.04571433777</v>
      </c>
      <c r="I22" s="787">
        <f t="shared" si="2"/>
        <v>106298.04571433777</v>
      </c>
      <c r="J22" s="787">
        <f t="shared" si="2"/>
        <v>113613.04571433777</v>
      </c>
      <c r="K22" s="787">
        <f t="shared" si="2"/>
        <v>106298.04571433777</v>
      </c>
      <c r="L22" s="787">
        <f t="shared" si="2"/>
        <v>106193.04571433777</v>
      </c>
      <c r="M22" s="787">
        <f t="shared" si="2"/>
        <v>236318.04571433779</v>
      </c>
      <c r="N22" s="787" t="e">
        <f t="shared" si="2"/>
        <v>#REF!</v>
      </c>
      <c r="O22" s="788" t="e">
        <f t="shared" si="2"/>
        <v>#REF!</v>
      </c>
      <c r="P22" s="64"/>
      <c r="Q22" s="64"/>
      <c r="R22" s="64"/>
      <c r="S22" s="64"/>
      <c r="T22" s="64"/>
      <c r="U22" s="64"/>
      <c r="V22" s="64"/>
      <c r="W22" s="64"/>
      <c r="X22" s="64"/>
    </row>
    <row r="23" spans="1:26" ht="17" customHeight="1">
      <c r="A23" s="786" t="s">
        <v>50</v>
      </c>
      <c r="B23" s="787">
        <f t="shared" ref="B23:O23" si="3">B9-B22</f>
        <v>318579.13714301307</v>
      </c>
      <c r="C23" s="787">
        <f t="shared" si="3"/>
        <v>-106193.04571433777</v>
      </c>
      <c r="D23" s="787">
        <f t="shared" si="3"/>
        <v>-87943.045714337772</v>
      </c>
      <c r="E23" s="787">
        <f t="shared" si="3"/>
        <v>-89363.045714337772</v>
      </c>
      <c r="F23" s="787">
        <f t="shared" si="3"/>
        <v>-26798.045714337772</v>
      </c>
      <c r="G23" s="787">
        <f t="shared" si="3"/>
        <v>-107193.04571433777</v>
      </c>
      <c r="H23" s="787">
        <f t="shared" si="3"/>
        <v>-107613.04571433777</v>
      </c>
      <c r="I23" s="787">
        <f t="shared" si="3"/>
        <v>-104798.04571433777</v>
      </c>
      <c r="J23" s="787">
        <f t="shared" si="3"/>
        <v>-107613.04571433777</v>
      </c>
      <c r="K23" s="787">
        <f t="shared" si="3"/>
        <v>-104798.04571433777</v>
      </c>
      <c r="L23" s="787">
        <f t="shared" si="3"/>
        <v>-106193.04571433777</v>
      </c>
      <c r="M23" s="787">
        <f t="shared" si="3"/>
        <v>451181.95428566221</v>
      </c>
      <c r="N23" s="787" t="e">
        <f t="shared" si="3"/>
        <v>#REF!</v>
      </c>
      <c r="O23" s="788" t="e">
        <f t="shared" si="3"/>
        <v>#REF!</v>
      </c>
      <c r="P23" s="64"/>
      <c r="Q23" s="64"/>
      <c r="R23" s="64"/>
      <c r="S23" s="64"/>
      <c r="T23" s="64"/>
      <c r="U23" s="64"/>
      <c r="V23" s="64"/>
      <c r="W23" s="64"/>
      <c r="X23" s="64"/>
    </row>
    <row r="24" spans="1:26" ht="17" customHeight="1">
      <c r="A24" s="12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123"/>
      <c r="P24" s="64"/>
      <c r="Q24" s="64"/>
      <c r="R24" s="64"/>
      <c r="S24" s="64"/>
      <c r="T24" s="64"/>
      <c r="U24" s="64"/>
      <c r="V24" s="64"/>
      <c r="W24" s="64"/>
      <c r="X24" s="64"/>
    </row>
    <row r="25" spans="1:26" ht="17" customHeight="1">
      <c r="A25" s="122" t="s">
        <v>51</v>
      </c>
      <c r="B25" s="67">
        <f>B23</f>
        <v>318579.13714301307</v>
      </c>
      <c r="C25" s="67">
        <f>B26</f>
        <v>318579.13714301307</v>
      </c>
      <c r="D25" s="67">
        <f>C26</f>
        <v>212386.09142867528</v>
      </c>
      <c r="E25" s="67">
        <f t="shared" ref="E25:N25" si="4">D26</f>
        <v>124443.04571433751</v>
      </c>
      <c r="F25" s="67">
        <f t="shared" si="4"/>
        <v>35079.999999999738</v>
      </c>
      <c r="G25" s="67">
        <f t="shared" si="4"/>
        <v>8281.9542856619664</v>
      </c>
      <c r="H25" s="67">
        <f t="shared" si="4"/>
        <v>-98911.091428675805</v>
      </c>
      <c r="I25" s="67">
        <f t="shared" si="4"/>
        <v>-206524.13714301359</v>
      </c>
      <c r="J25" s="67">
        <f t="shared" si="4"/>
        <v>-311322.18285735138</v>
      </c>
      <c r="K25" s="67">
        <f t="shared" si="4"/>
        <v>-418935.22857168916</v>
      </c>
      <c r="L25" s="67">
        <f t="shared" si="4"/>
        <v>-523733.27428602695</v>
      </c>
      <c r="M25" s="67">
        <f t="shared" si="4"/>
        <v>-629926.32000036468</v>
      </c>
      <c r="N25" s="67">
        <f t="shared" si="4"/>
        <v>-178744.36571470246</v>
      </c>
      <c r="O25" s="123">
        <f>B25</f>
        <v>318579.13714301307</v>
      </c>
      <c r="P25" s="130"/>
      <c r="Q25" s="64"/>
      <c r="R25" s="64"/>
      <c r="S25" s="64"/>
      <c r="T25" s="64"/>
      <c r="U25" s="64"/>
      <c r="V25" s="64"/>
      <c r="W25" s="64"/>
      <c r="X25" s="64"/>
    </row>
    <row r="26" spans="1:26" ht="17" customHeight="1" thickBot="1">
      <c r="A26" s="783" t="s">
        <v>19</v>
      </c>
      <c r="B26" s="784">
        <f>B25</f>
        <v>318579.13714301307</v>
      </c>
      <c r="C26" s="784">
        <f>SUM(C23:C25)</f>
        <v>212386.09142867528</v>
      </c>
      <c r="D26" s="784">
        <f t="shared" ref="D26:O26" si="5">SUM(D23:D25)</f>
        <v>124443.04571433751</v>
      </c>
      <c r="E26" s="784">
        <f t="shared" si="5"/>
        <v>35079.999999999738</v>
      </c>
      <c r="F26" s="784">
        <f t="shared" si="5"/>
        <v>8281.9542856619664</v>
      </c>
      <c r="G26" s="784">
        <f t="shared" si="5"/>
        <v>-98911.091428675805</v>
      </c>
      <c r="H26" s="784">
        <f t="shared" si="5"/>
        <v>-206524.13714301359</v>
      </c>
      <c r="I26" s="784">
        <f t="shared" si="5"/>
        <v>-311322.18285735138</v>
      </c>
      <c r="J26" s="784">
        <f t="shared" si="5"/>
        <v>-418935.22857168916</v>
      </c>
      <c r="K26" s="784">
        <f t="shared" si="5"/>
        <v>-523733.27428602695</v>
      </c>
      <c r="L26" s="784">
        <f t="shared" si="5"/>
        <v>-629926.32000036468</v>
      </c>
      <c r="M26" s="784">
        <f t="shared" si="5"/>
        <v>-178744.36571470246</v>
      </c>
      <c r="N26" s="784" t="e">
        <f t="shared" si="5"/>
        <v>#REF!</v>
      </c>
      <c r="O26" s="785" t="e">
        <f t="shared" si="5"/>
        <v>#REF!</v>
      </c>
      <c r="P26" s="70" t="e">
        <f>N26-O26</f>
        <v>#REF!</v>
      </c>
      <c r="Q26" s="64"/>
      <c r="R26" s="64"/>
      <c r="S26" s="64"/>
      <c r="T26" s="64"/>
      <c r="U26" s="64"/>
      <c r="V26" s="64"/>
      <c r="W26" s="64"/>
      <c r="X26" s="64"/>
    </row>
    <row r="27" spans="1:26" ht="17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64"/>
      <c r="Q27" s="64"/>
      <c r="R27" s="64"/>
      <c r="S27" s="64"/>
      <c r="T27" s="64"/>
      <c r="U27" s="64"/>
      <c r="V27" s="64"/>
      <c r="W27" s="64"/>
      <c r="X27" s="64"/>
    </row>
    <row r="28" spans="1:26" ht="17" customHeight="1" thickBot="1">
      <c r="A28" s="71"/>
      <c r="B28" s="71"/>
      <c r="C28" s="128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64"/>
      <c r="Q28" s="64"/>
      <c r="R28" s="64"/>
      <c r="S28" s="64"/>
      <c r="T28" s="64"/>
      <c r="U28" s="64"/>
      <c r="V28" s="64"/>
      <c r="W28" s="64"/>
      <c r="X28" s="64"/>
    </row>
    <row r="29" spans="1:26" ht="17" customHeight="1" thickBot="1">
      <c r="A29" s="1270" t="s">
        <v>219</v>
      </c>
      <c r="B29" s="1271"/>
      <c r="C29" s="1271"/>
      <c r="D29" s="1271"/>
      <c r="E29" s="1271"/>
      <c r="F29" s="1271"/>
      <c r="G29" s="1271"/>
      <c r="H29" s="1271"/>
      <c r="I29" s="1271"/>
      <c r="J29" s="1271"/>
      <c r="K29" s="1271"/>
      <c r="L29" s="1271"/>
      <c r="M29" s="1271"/>
      <c r="N29" s="1271"/>
      <c r="O29" s="1272"/>
      <c r="P29" s="64"/>
      <c r="Q29" s="64"/>
      <c r="R29" s="64"/>
      <c r="S29" s="64"/>
      <c r="T29" s="64"/>
      <c r="U29" s="64"/>
      <c r="V29" s="64"/>
      <c r="W29" s="64"/>
      <c r="X29" s="64"/>
    </row>
    <row r="30" spans="1:26" ht="17" customHeight="1" thickTop="1">
      <c r="A30" s="1279" t="s">
        <v>1</v>
      </c>
      <c r="B30" s="1281" t="s">
        <v>136</v>
      </c>
      <c r="C30" s="1281" t="s">
        <v>38</v>
      </c>
      <c r="D30" s="1281" t="s">
        <v>39</v>
      </c>
      <c r="E30" s="1281" t="s">
        <v>40</v>
      </c>
      <c r="F30" s="1281" t="s">
        <v>41</v>
      </c>
      <c r="G30" s="1281" t="s">
        <v>42</v>
      </c>
      <c r="H30" s="1281" t="s">
        <v>43</v>
      </c>
      <c r="I30" s="1281" t="s">
        <v>44</v>
      </c>
      <c r="J30" s="1281" t="s">
        <v>45</v>
      </c>
      <c r="K30" s="1281" t="s">
        <v>46</v>
      </c>
      <c r="L30" s="1281" t="s">
        <v>47</v>
      </c>
      <c r="M30" s="1281" t="s">
        <v>48</v>
      </c>
      <c r="N30" s="1281" t="s">
        <v>49</v>
      </c>
      <c r="O30" s="1280" t="s">
        <v>35</v>
      </c>
      <c r="P30" s="64"/>
      <c r="Q30" s="64"/>
      <c r="R30" s="64"/>
      <c r="S30" s="64"/>
      <c r="T30" s="64"/>
      <c r="U30" s="64"/>
      <c r="V30" s="64"/>
      <c r="W30" s="64"/>
      <c r="X30" s="64"/>
    </row>
    <row r="31" spans="1:26" ht="17" customHeight="1" thickBot="1">
      <c r="A31" s="1274"/>
      <c r="B31" s="1276"/>
      <c r="C31" s="1276"/>
      <c r="D31" s="1276" t="s">
        <v>39</v>
      </c>
      <c r="E31" s="1276" t="s">
        <v>40</v>
      </c>
      <c r="F31" s="1276" t="s">
        <v>41</v>
      </c>
      <c r="G31" s="1276" t="s">
        <v>42</v>
      </c>
      <c r="H31" s="1276" t="s">
        <v>43</v>
      </c>
      <c r="I31" s="1276" t="s">
        <v>44</v>
      </c>
      <c r="J31" s="1276" t="s">
        <v>45</v>
      </c>
      <c r="K31" s="1276" t="s">
        <v>46</v>
      </c>
      <c r="L31" s="1276" t="s">
        <v>47</v>
      </c>
      <c r="M31" s="1276" t="s">
        <v>48</v>
      </c>
      <c r="N31" s="1276" t="s">
        <v>49</v>
      </c>
      <c r="O31" s="1278"/>
      <c r="P31" s="64"/>
      <c r="Q31" s="64"/>
      <c r="R31" s="64"/>
      <c r="S31" s="64"/>
      <c r="T31" s="64"/>
      <c r="U31" s="64"/>
      <c r="V31" s="64"/>
      <c r="W31" s="64"/>
      <c r="X31" s="64"/>
    </row>
    <row r="32" spans="1:26" ht="17" customHeight="1" thickTop="1">
      <c r="A32" s="120" t="s">
        <v>161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121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7" customHeight="1">
      <c r="A33" s="122" t="s">
        <v>11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123">
        <f>SUM(B33:N33)</f>
        <v>0</v>
      </c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7" customHeight="1">
      <c r="A34" s="122" t="s">
        <v>214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123">
        <f>SUM(B34:N34)</f>
        <v>0</v>
      </c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7" customHeight="1">
      <c r="A35" s="122" t="s">
        <v>12</v>
      </c>
      <c r="B35" s="67"/>
      <c r="C35" s="67">
        <f>C8*Pres.Ventas!$D$116</f>
        <v>0</v>
      </c>
      <c r="D35" s="67">
        <f>D8*Pres.Ventas!$D$116</f>
        <v>29150.000000000004</v>
      </c>
      <c r="E35" s="67">
        <f>E8*Pres.Ventas!$D$116</f>
        <v>36146.000000000007</v>
      </c>
      <c r="F35" s="67">
        <f>F8*Pres.Ventas!$D$116</f>
        <v>118349.00000000001</v>
      </c>
      <c r="G35" s="67">
        <f>G8*Pres.Ventas!$D$116</f>
        <v>0</v>
      </c>
      <c r="H35" s="67">
        <f>H8*Pres.Ventas!$D$116</f>
        <v>6996.0000000000009</v>
      </c>
      <c r="I35" s="67">
        <f>I8*Pres.Ventas!$D$116</f>
        <v>1749.0000000000002</v>
      </c>
      <c r="J35" s="67">
        <f>J8*Pres.Ventas!$D$116</f>
        <v>6996.0000000000009</v>
      </c>
      <c r="K35" s="67">
        <f>K8*Pres.Ventas!$D$116</f>
        <v>1749.0000000000002</v>
      </c>
      <c r="L35" s="67">
        <f>L8*Pres.Ventas!$D$116</f>
        <v>0</v>
      </c>
      <c r="M35" s="67">
        <f>M8*Pres.Ventas!$D$116</f>
        <v>801625.00000000012</v>
      </c>
      <c r="N35" s="67">
        <f>N8*Pres.Ventas!$D$116</f>
        <v>343970.00000000006</v>
      </c>
      <c r="O35" s="123">
        <f>SUM(C35:N35)</f>
        <v>1346730.0000000002</v>
      </c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7" customHeight="1">
      <c r="A36" s="786" t="s">
        <v>13</v>
      </c>
      <c r="B36" s="787"/>
      <c r="C36" s="787">
        <f t="shared" ref="C36:N36" si="6">SUM(C32:C35)</f>
        <v>0</v>
      </c>
      <c r="D36" s="787">
        <f t="shared" si="6"/>
        <v>29150.000000000004</v>
      </c>
      <c r="E36" s="787">
        <f t="shared" si="6"/>
        <v>36146.000000000007</v>
      </c>
      <c r="F36" s="787">
        <f t="shared" si="6"/>
        <v>118349.00000000001</v>
      </c>
      <c r="G36" s="787">
        <f t="shared" si="6"/>
        <v>0</v>
      </c>
      <c r="H36" s="787">
        <f t="shared" si="6"/>
        <v>6996.0000000000009</v>
      </c>
      <c r="I36" s="787">
        <f t="shared" si="6"/>
        <v>1749.0000000000002</v>
      </c>
      <c r="J36" s="787">
        <f t="shared" si="6"/>
        <v>6996.0000000000009</v>
      </c>
      <c r="K36" s="787">
        <f t="shared" si="6"/>
        <v>1749.0000000000002</v>
      </c>
      <c r="L36" s="787">
        <f t="shared" si="6"/>
        <v>0</v>
      </c>
      <c r="M36" s="787">
        <f t="shared" si="6"/>
        <v>801625.00000000012</v>
      </c>
      <c r="N36" s="787">
        <f t="shared" si="6"/>
        <v>343970.00000000006</v>
      </c>
      <c r="O36" s="788">
        <f>SUM(O33:O35)</f>
        <v>1346730.0000000002</v>
      </c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7" customHeight="1">
      <c r="A37" s="122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123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7" customHeight="1">
      <c r="A38" s="124" t="s">
        <v>14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123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7" customHeight="1">
      <c r="A39" s="122" t="str">
        <f>A13</f>
        <v>Inversiones en activos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123">
        <f>SUM(B39:N39)</f>
        <v>0</v>
      </c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7" customHeight="1">
      <c r="A40" s="122" t="s">
        <v>332</v>
      </c>
      <c r="B40" s="67"/>
      <c r="C40" s="67">
        <f>C14*Pres.Ventas!$D$116</f>
        <v>0</v>
      </c>
      <c r="D40" s="67">
        <f>D14*Pres.Ventas!$D$116</f>
        <v>7870.5000000000009</v>
      </c>
      <c r="E40" s="67">
        <f>E14*Pres.Ventas!$D$116</f>
        <v>16522.22</v>
      </c>
      <c r="F40" s="67">
        <f>F14*Pres.Ventas!$D$116</f>
        <v>25774.430000000004</v>
      </c>
      <c r="G40" s="67">
        <f>G14*Pres.Ventas!$D$116</f>
        <v>1166.0000000000002</v>
      </c>
      <c r="H40" s="67">
        <f>H14*Pres.Ventas!$D$116</f>
        <v>8651.7200000000012</v>
      </c>
      <c r="I40" s="67">
        <f>I14*Pres.Ventas!$D$116</f>
        <v>11782.430000000002</v>
      </c>
      <c r="J40" s="67">
        <f>J14*Pres.Ventas!$D$116</f>
        <v>20311.72</v>
      </c>
      <c r="K40" s="67">
        <f>K14*Pres.Ventas!$D$116</f>
        <v>11782.430000000002</v>
      </c>
      <c r="L40" s="67">
        <f>L14*Pres.Ventas!$D$116</f>
        <v>11660.000000000002</v>
      </c>
      <c r="M40" s="67">
        <f>M14*Pres.Ventas!$D$116</f>
        <v>163385.75000000003</v>
      </c>
      <c r="N40" s="67" t="e">
        <f>N14*Pres.Ventas!$D$116</f>
        <v>#REF!</v>
      </c>
      <c r="O40" s="123" t="e">
        <f>SUM(B40:N40)</f>
        <v>#REF!</v>
      </c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7" customHeight="1">
      <c r="A41" s="122" t="s">
        <v>333</v>
      </c>
      <c r="B41" s="67"/>
      <c r="C41" s="67">
        <f>C15*Pres.Ventas!$D$116</f>
        <v>123821.09130291786</v>
      </c>
      <c r="D41" s="67">
        <f>D15*Pres.Ventas!$D$116</f>
        <v>123821.09130291786</v>
      </c>
      <c r="E41" s="67">
        <f>E15*Pres.Ventas!$D$116</f>
        <v>123821.09130291786</v>
      </c>
      <c r="F41" s="67">
        <f>F15*Pres.Ventas!$D$116</f>
        <v>123821.09130291786</v>
      </c>
      <c r="G41" s="67">
        <f>G15*Pres.Ventas!$D$116</f>
        <v>123821.09130291786</v>
      </c>
      <c r="H41" s="67">
        <f>H15*Pres.Ventas!$D$116</f>
        <v>123821.09130291786</v>
      </c>
      <c r="I41" s="67">
        <f>I15*Pres.Ventas!$D$116</f>
        <v>112161.09130291786</v>
      </c>
      <c r="J41" s="67">
        <f>J15*Pres.Ventas!$D$116</f>
        <v>112161.09130291786</v>
      </c>
      <c r="K41" s="67">
        <f>K15*Pres.Ventas!$D$116</f>
        <v>112161.09130291786</v>
      </c>
      <c r="L41" s="67">
        <f>L15*Pres.Ventas!$D$116</f>
        <v>112161.09130291786</v>
      </c>
      <c r="M41" s="67">
        <f>M15*Pres.Ventas!$D$116</f>
        <v>112161.09130291786</v>
      </c>
      <c r="N41" s="67">
        <f>N15*Pres.Ventas!$D$116</f>
        <v>138041.62992093607</v>
      </c>
      <c r="O41" s="123">
        <f>SUM(C41:N41)</f>
        <v>1441773.634253032</v>
      </c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7" customHeight="1">
      <c r="A42" s="122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123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7" customHeight="1">
      <c r="A43" s="786" t="s">
        <v>138</v>
      </c>
      <c r="B43" s="787"/>
      <c r="C43" s="787">
        <f t="shared" ref="C43:O43" si="7">SUM(C39:C42)</f>
        <v>123821.09130291786</v>
      </c>
      <c r="D43" s="787">
        <f t="shared" si="7"/>
        <v>131691.59130291786</v>
      </c>
      <c r="E43" s="787">
        <f t="shared" si="7"/>
        <v>140343.31130291786</v>
      </c>
      <c r="F43" s="787">
        <f t="shared" si="7"/>
        <v>149595.52130291786</v>
      </c>
      <c r="G43" s="787">
        <f t="shared" si="7"/>
        <v>124987.09130291786</v>
      </c>
      <c r="H43" s="787">
        <f t="shared" si="7"/>
        <v>132472.81130291786</v>
      </c>
      <c r="I43" s="787">
        <f t="shared" si="7"/>
        <v>123943.52130291787</v>
      </c>
      <c r="J43" s="787">
        <f t="shared" si="7"/>
        <v>132472.81130291786</v>
      </c>
      <c r="K43" s="787">
        <f t="shared" si="7"/>
        <v>123943.52130291787</v>
      </c>
      <c r="L43" s="787">
        <f t="shared" si="7"/>
        <v>123821.09130291786</v>
      </c>
      <c r="M43" s="787">
        <f t="shared" si="7"/>
        <v>275546.84130291792</v>
      </c>
      <c r="N43" s="787" t="e">
        <f t="shared" si="7"/>
        <v>#REF!</v>
      </c>
      <c r="O43" s="788" t="e">
        <f t="shared" si="7"/>
        <v>#REF!</v>
      </c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7" customHeight="1">
      <c r="A44" s="125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123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4.25" customHeight="1">
      <c r="A45" s="122" t="s">
        <v>139</v>
      </c>
      <c r="B45" s="67"/>
      <c r="C45" s="67">
        <f>'Pago Financiamto'!G26</f>
        <v>0</v>
      </c>
      <c r="D45" s="67">
        <f>'Pago Financiamto'!$G27</f>
        <v>0</v>
      </c>
      <c r="E45" s="67">
        <f>'Pago Financiamto'!$G28</f>
        <v>0</v>
      </c>
      <c r="F45" s="67">
        <f>'Pago Financiamto'!$G29</f>
        <v>0</v>
      </c>
      <c r="G45" s="67">
        <f>'Pago Financiamto'!$G30</f>
        <v>0</v>
      </c>
      <c r="H45" s="67">
        <f>'Pago Financiamto'!$G31</f>
        <v>0</v>
      </c>
      <c r="I45" s="67">
        <f>'Pago Financiamto'!$G32</f>
        <v>0</v>
      </c>
      <c r="J45" s="67">
        <f>'Pago Financiamto'!$G33</f>
        <v>0</v>
      </c>
      <c r="K45" s="67">
        <f>'Pago Financiamto'!$G34</f>
        <v>0</v>
      </c>
      <c r="L45" s="67">
        <f>'Pago Financiamto'!$G35</f>
        <v>0</v>
      </c>
      <c r="M45" s="67">
        <f>'Pago Financiamto'!$G36</f>
        <v>0</v>
      </c>
      <c r="N45" s="67">
        <f>'Pago Financiamto'!$G37</f>
        <v>0</v>
      </c>
      <c r="O45" s="123">
        <f>SUM(C45:N45)</f>
        <v>0</v>
      </c>
      <c r="P45" s="64"/>
      <c r="Q45" s="64"/>
      <c r="R45" s="64"/>
      <c r="S45" s="64"/>
      <c r="T45" s="64"/>
      <c r="U45" s="64"/>
      <c r="V45" s="64"/>
      <c r="W45" s="64"/>
      <c r="X45" s="64"/>
    </row>
    <row r="46" spans="1:24" ht="15" customHeight="1">
      <c r="A46" s="122" t="s">
        <v>17</v>
      </c>
      <c r="B46" s="67"/>
      <c r="C46" s="67">
        <f>'Pago Financiamto'!$F$26</f>
        <v>0</v>
      </c>
      <c r="D46" s="67">
        <f>'Pago Financiamto'!$F$27</f>
        <v>0</v>
      </c>
      <c r="E46" s="67">
        <f>'Pago Financiamto'!$F$28</f>
        <v>0</v>
      </c>
      <c r="F46" s="67">
        <f>'Pago Financiamto'!$F$29</f>
        <v>0</v>
      </c>
      <c r="G46" s="67">
        <f>'Pago Financiamto'!$F$30</f>
        <v>0</v>
      </c>
      <c r="H46" s="67">
        <f>'Pago Financiamto'!$F$31</f>
        <v>0</v>
      </c>
      <c r="I46" s="67">
        <f>'Pago Financiamto'!$F$32</f>
        <v>0</v>
      </c>
      <c r="J46" s="67">
        <f>'Pago Financiamto'!$F$33</f>
        <v>0</v>
      </c>
      <c r="K46" s="67">
        <f>'Pago Financiamto'!$F$34</f>
        <v>0</v>
      </c>
      <c r="L46" s="67">
        <f>'Pago Financiamto'!$F$35</f>
        <v>0</v>
      </c>
      <c r="M46" s="67">
        <f>'Pago Financiamto'!$F$36</f>
        <v>0</v>
      </c>
      <c r="N46" s="67">
        <f>'Pago Financiamto'!$F$37</f>
        <v>0</v>
      </c>
      <c r="O46" s="123">
        <f>SUM(C46:N46)</f>
        <v>0</v>
      </c>
      <c r="P46" s="64"/>
      <c r="Q46" s="64"/>
      <c r="R46" s="64"/>
      <c r="S46" s="64"/>
      <c r="T46" s="64"/>
      <c r="U46" s="64"/>
      <c r="V46" s="64"/>
      <c r="W46" s="64"/>
      <c r="X46" s="64"/>
    </row>
    <row r="47" spans="1:24" ht="17" customHeight="1">
      <c r="A47" s="122" t="s">
        <v>140</v>
      </c>
      <c r="B47" s="67"/>
      <c r="C47" s="67"/>
      <c r="D47" s="67"/>
      <c r="E47" s="67" t="e">
        <f>'Edo.Result Proy'!B16</f>
        <v>#REF!</v>
      </c>
      <c r="F47" s="67"/>
      <c r="G47" s="67"/>
      <c r="H47" s="67"/>
      <c r="I47" s="67"/>
      <c r="J47" s="67"/>
      <c r="K47" s="67"/>
      <c r="L47" s="67"/>
      <c r="M47" s="67"/>
      <c r="N47" s="67"/>
      <c r="O47" s="123" t="e">
        <f>SUM(E47:N47)</f>
        <v>#REF!</v>
      </c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7" customHeight="1">
      <c r="A48" s="786" t="s">
        <v>18</v>
      </c>
      <c r="B48" s="787"/>
      <c r="C48" s="787">
        <f t="shared" ref="C48:O48" si="8">SUM(C43:C47)</f>
        <v>123821.09130291786</v>
      </c>
      <c r="D48" s="787">
        <f t="shared" si="8"/>
        <v>131691.59130291786</v>
      </c>
      <c r="E48" s="787" t="e">
        <f t="shared" si="8"/>
        <v>#REF!</v>
      </c>
      <c r="F48" s="787">
        <f t="shared" si="8"/>
        <v>149595.52130291786</v>
      </c>
      <c r="G48" s="787">
        <f t="shared" si="8"/>
        <v>124987.09130291786</v>
      </c>
      <c r="H48" s="787">
        <f t="shared" si="8"/>
        <v>132472.81130291786</v>
      </c>
      <c r="I48" s="787">
        <f t="shared" si="8"/>
        <v>123943.52130291787</v>
      </c>
      <c r="J48" s="787">
        <f t="shared" si="8"/>
        <v>132472.81130291786</v>
      </c>
      <c r="K48" s="787">
        <f t="shared" si="8"/>
        <v>123943.52130291787</v>
      </c>
      <c r="L48" s="787">
        <f t="shared" si="8"/>
        <v>123821.09130291786</v>
      </c>
      <c r="M48" s="787">
        <f t="shared" si="8"/>
        <v>275546.84130291792</v>
      </c>
      <c r="N48" s="787" t="e">
        <f t="shared" si="8"/>
        <v>#REF!</v>
      </c>
      <c r="O48" s="788" t="e">
        <f t="shared" si="8"/>
        <v>#REF!</v>
      </c>
      <c r="P48" s="64"/>
      <c r="Q48" s="64"/>
      <c r="R48" s="64"/>
      <c r="S48" s="64"/>
      <c r="T48" s="64"/>
      <c r="U48" s="64"/>
      <c r="V48" s="64"/>
      <c r="W48" s="64"/>
      <c r="X48" s="64"/>
    </row>
    <row r="49" spans="1:24" ht="17" customHeight="1">
      <c r="A49" s="786" t="s">
        <v>50</v>
      </c>
      <c r="B49" s="787"/>
      <c r="C49" s="787">
        <f t="shared" ref="C49:O49" si="9">C36-C48</f>
        <v>-123821.09130291786</v>
      </c>
      <c r="D49" s="787">
        <f t="shared" si="9"/>
        <v>-102541.59130291786</v>
      </c>
      <c r="E49" s="787" t="e">
        <f t="shared" si="9"/>
        <v>#REF!</v>
      </c>
      <c r="F49" s="787">
        <f t="shared" si="9"/>
        <v>-31246.521302917841</v>
      </c>
      <c r="G49" s="787">
        <f t="shared" si="9"/>
        <v>-124987.09130291786</v>
      </c>
      <c r="H49" s="787">
        <f t="shared" si="9"/>
        <v>-125476.81130291786</v>
      </c>
      <c r="I49" s="787">
        <f t="shared" si="9"/>
        <v>-122194.52130291787</v>
      </c>
      <c r="J49" s="787">
        <f t="shared" si="9"/>
        <v>-125476.81130291786</v>
      </c>
      <c r="K49" s="787">
        <f t="shared" si="9"/>
        <v>-122194.52130291787</v>
      </c>
      <c r="L49" s="787">
        <f t="shared" si="9"/>
        <v>-123821.09130291786</v>
      </c>
      <c r="M49" s="787">
        <f t="shared" si="9"/>
        <v>526078.1586970822</v>
      </c>
      <c r="N49" s="787" t="e">
        <f t="shared" si="9"/>
        <v>#REF!</v>
      </c>
      <c r="O49" s="788" t="e">
        <f t="shared" si="9"/>
        <v>#REF!</v>
      </c>
      <c r="P49" s="64"/>
      <c r="Q49" s="64"/>
      <c r="R49" s="64"/>
      <c r="S49" s="64"/>
      <c r="T49" s="64"/>
      <c r="U49" s="64"/>
      <c r="V49" s="64"/>
      <c r="W49" s="64"/>
      <c r="X49" s="64"/>
    </row>
    <row r="50" spans="1:24" ht="17" customHeight="1">
      <c r="A50" s="127" t="s">
        <v>330</v>
      </c>
      <c r="B50" s="67" t="e">
        <f>'Edo.Result Proy'!B18</f>
        <v>#REF!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123" t="e">
        <f>B50</f>
        <v>#REF!</v>
      </c>
      <c r="P50" s="70"/>
      <c r="Q50" s="64"/>
      <c r="R50" s="64"/>
      <c r="S50" s="64"/>
      <c r="T50" s="64"/>
      <c r="U50" s="64"/>
      <c r="V50" s="64"/>
      <c r="W50" s="64"/>
      <c r="X50" s="64"/>
    </row>
    <row r="51" spans="1:24" ht="17" customHeight="1">
      <c r="A51" s="122" t="s">
        <v>51</v>
      </c>
      <c r="B51" s="67" t="e">
        <f>O26</f>
        <v>#REF!</v>
      </c>
      <c r="C51" s="67" t="e">
        <f t="shared" ref="C51:N51" si="10">B52</f>
        <v>#REF!</v>
      </c>
      <c r="D51" s="67" t="e">
        <f t="shared" si="10"/>
        <v>#REF!</v>
      </c>
      <c r="E51" s="67" t="e">
        <f t="shared" si="10"/>
        <v>#REF!</v>
      </c>
      <c r="F51" s="67" t="e">
        <f t="shared" si="10"/>
        <v>#REF!</v>
      </c>
      <c r="G51" s="67" t="e">
        <f t="shared" si="10"/>
        <v>#REF!</v>
      </c>
      <c r="H51" s="67" t="e">
        <f t="shared" si="10"/>
        <v>#REF!</v>
      </c>
      <c r="I51" s="67" t="e">
        <f t="shared" si="10"/>
        <v>#REF!</v>
      </c>
      <c r="J51" s="67" t="e">
        <f t="shared" si="10"/>
        <v>#REF!</v>
      </c>
      <c r="K51" s="67" t="e">
        <f t="shared" si="10"/>
        <v>#REF!</v>
      </c>
      <c r="L51" s="67" t="e">
        <f t="shared" si="10"/>
        <v>#REF!</v>
      </c>
      <c r="M51" s="67" t="e">
        <f t="shared" si="10"/>
        <v>#REF!</v>
      </c>
      <c r="N51" s="67" t="e">
        <f t="shared" si="10"/>
        <v>#REF!</v>
      </c>
      <c r="O51" s="123" t="e">
        <f>B51</f>
        <v>#REF!</v>
      </c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7" customHeight="1" thickBot="1">
      <c r="A52" s="783" t="s">
        <v>203</v>
      </c>
      <c r="B52" s="784" t="e">
        <f>B49-B50+B51</f>
        <v>#REF!</v>
      </c>
      <c r="C52" s="784" t="e">
        <f t="shared" ref="C52:N52" si="11">SUM(C49:C51)</f>
        <v>#REF!</v>
      </c>
      <c r="D52" s="784" t="e">
        <f t="shared" si="11"/>
        <v>#REF!</v>
      </c>
      <c r="E52" s="784" t="e">
        <f t="shared" si="11"/>
        <v>#REF!</v>
      </c>
      <c r="F52" s="784" t="e">
        <f t="shared" si="11"/>
        <v>#REF!</v>
      </c>
      <c r="G52" s="784" t="e">
        <f t="shared" si="11"/>
        <v>#REF!</v>
      </c>
      <c r="H52" s="784" t="e">
        <f t="shared" si="11"/>
        <v>#REF!</v>
      </c>
      <c r="I52" s="784" t="e">
        <f t="shared" si="11"/>
        <v>#REF!</v>
      </c>
      <c r="J52" s="784" t="e">
        <f t="shared" si="11"/>
        <v>#REF!</v>
      </c>
      <c r="K52" s="784" t="e">
        <f t="shared" si="11"/>
        <v>#REF!</v>
      </c>
      <c r="L52" s="784" t="e">
        <f t="shared" si="11"/>
        <v>#REF!</v>
      </c>
      <c r="M52" s="784" t="e">
        <f t="shared" si="11"/>
        <v>#REF!</v>
      </c>
      <c r="N52" s="784" t="e">
        <f t="shared" si="11"/>
        <v>#REF!</v>
      </c>
      <c r="O52" s="785" t="e">
        <f>O49-O50+O51</f>
        <v>#REF!</v>
      </c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7" customHeight="1">
      <c r="A53" s="71"/>
      <c r="B53" s="180" t="e">
        <f>B52-E47</f>
        <v>#REF!</v>
      </c>
      <c r="C53" s="119"/>
      <c r="D53" s="119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17" customHeight="1" thickBo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7" customHeight="1" thickBot="1">
      <c r="A55" s="1270" t="s">
        <v>220</v>
      </c>
      <c r="B55" s="1271"/>
      <c r="C55" s="1271"/>
      <c r="D55" s="1271"/>
      <c r="E55" s="1271"/>
      <c r="F55" s="1271"/>
      <c r="G55" s="1271"/>
      <c r="H55" s="1271"/>
      <c r="I55" s="1271"/>
      <c r="J55" s="1271"/>
      <c r="K55" s="1271"/>
      <c r="L55" s="1271"/>
      <c r="M55" s="1271"/>
      <c r="N55" s="1271"/>
      <c r="O55" s="1272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7" customHeight="1" thickTop="1">
      <c r="A56" s="1279" t="s">
        <v>1</v>
      </c>
      <c r="B56" s="1281" t="s">
        <v>136</v>
      </c>
      <c r="C56" s="1281" t="s">
        <v>38</v>
      </c>
      <c r="D56" s="1281" t="s">
        <v>39</v>
      </c>
      <c r="E56" s="1281" t="s">
        <v>40</v>
      </c>
      <c r="F56" s="1281" t="s">
        <v>41</v>
      </c>
      <c r="G56" s="1281" t="s">
        <v>42</v>
      </c>
      <c r="H56" s="1281" t="s">
        <v>43</v>
      </c>
      <c r="I56" s="1281" t="s">
        <v>44</v>
      </c>
      <c r="J56" s="1281" t="s">
        <v>45</v>
      </c>
      <c r="K56" s="1281" t="s">
        <v>46</v>
      </c>
      <c r="L56" s="1281" t="s">
        <v>47</v>
      </c>
      <c r="M56" s="1281" t="s">
        <v>48</v>
      </c>
      <c r="N56" s="1281" t="s">
        <v>49</v>
      </c>
      <c r="O56" s="1280" t="s">
        <v>35</v>
      </c>
      <c r="P56" s="64"/>
      <c r="Q56" s="64"/>
      <c r="R56" s="64"/>
      <c r="S56" s="64"/>
      <c r="T56" s="64"/>
      <c r="U56" s="64"/>
      <c r="V56" s="64"/>
      <c r="W56" s="64"/>
      <c r="X56" s="64"/>
    </row>
    <row r="57" spans="1:24" ht="17" customHeight="1" thickBot="1">
      <c r="A57" s="1274"/>
      <c r="B57" s="1276"/>
      <c r="C57" s="1276"/>
      <c r="D57" s="1276" t="s">
        <v>39</v>
      </c>
      <c r="E57" s="1276" t="s">
        <v>40</v>
      </c>
      <c r="F57" s="1276" t="s">
        <v>41</v>
      </c>
      <c r="G57" s="1276" t="s">
        <v>42</v>
      </c>
      <c r="H57" s="1276" t="s">
        <v>43</v>
      </c>
      <c r="I57" s="1276" t="s">
        <v>44</v>
      </c>
      <c r="J57" s="1276" t="s">
        <v>45</v>
      </c>
      <c r="K57" s="1276" t="s">
        <v>46</v>
      </c>
      <c r="L57" s="1276" t="s">
        <v>47</v>
      </c>
      <c r="M57" s="1276" t="s">
        <v>48</v>
      </c>
      <c r="N57" s="1276" t="s">
        <v>49</v>
      </c>
      <c r="O57" s="1278"/>
      <c r="P57" s="64"/>
      <c r="Q57" s="64"/>
      <c r="R57" s="64"/>
      <c r="S57" s="64"/>
      <c r="T57" s="64"/>
      <c r="U57" s="64"/>
      <c r="V57" s="64"/>
      <c r="W57" s="64"/>
      <c r="X57" s="64"/>
    </row>
    <row r="58" spans="1:24" ht="17" customHeight="1" thickTop="1">
      <c r="A58" s="120" t="s">
        <v>217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121"/>
      <c r="P58" s="64"/>
      <c r="Q58" s="64"/>
      <c r="R58" s="64"/>
      <c r="S58" s="64"/>
      <c r="T58" s="64"/>
      <c r="U58" s="64"/>
      <c r="V58" s="64"/>
      <c r="W58" s="64"/>
      <c r="X58" s="64"/>
    </row>
    <row r="59" spans="1:24" ht="27.75" customHeight="1">
      <c r="A59" s="122" t="s">
        <v>11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123">
        <f>SUM(B59:N59)</f>
        <v>0</v>
      </c>
      <c r="P59" s="64"/>
      <c r="Q59" s="64"/>
      <c r="R59" s="64"/>
      <c r="S59" s="64"/>
      <c r="T59" s="64"/>
      <c r="U59" s="64"/>
      <c r="V59" s="64"/>
      <c r="W59" s="64"/>
      <c r="X59" s="64"/>
    </row>
    <row r="60" spans="1:24" ht="17" customHeight="1">
      <c r="A60" s="122" t="s">
        <v>214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123">
        <f>SUM(B60:N60)</f>
        <v>0</v>
      </c>
      <c r="P60" s="64"/>
      <c r="Q60" s="64"/>
      <c r="R60" s="64"/>
      <c r="S60" s="64"/>
      <c r="T60" s="64"/>
      <c r="U60" s="64"/>
      <c r="V60" s="64"/>
      <c r="W60" s="64"/>
      <c r="X60" s="64"/>
    </row>
    <row r="61" spans="1:24" ht="17" customHeight="1">
      <c r="A61" s="122" t="s">
        <v>12</v>
      </c>
      <c r="B61" s="67"/>
      <c r="C61" s="67">
        <f>C35*Pres.Ventas!$E$116</f>
        <v>0</v>
      </c>
      <c r="D61" s="67">
        <f>D35*Pres.Ventas!$E$116</f>
        <v>37078.80000000001</v>
      </c>
      <c r="E61" s="67">
        <f>E35*Pres.Ventas!$E$116</f>
        <v>45977.712000000021</v>
      </c>
      <c r="F61" s="67">
        <f>F35*Pres.Ventas!$E$116</f>
        <v>150539.92800000004</v>
      </c>
      <c r="G61" s="67">
        <f>G35*Pres.Ventas!$E$116</f>
        <v>0</v>
      </c>
      <c r="H61" s="67">
        <f>H35*Pres.Ventas!$E$116</f>
        <v>8898.9120000000021</v>
      </c>
      <c r="I61" s="67">
        <f>I35*Pres.Ventas!$E$116</f>
        <v>2224.7280000000005</v>
      </c>
      <c r="J61" s="67">
        <f>J35*Pres.Ventas!$E$116</f>
        <v>8898.9120000000021</v>
      </c>
      <c r="K61" s="67">
        <f>K35*Pres.Ventas!$E$116</f>
        <v>2224.7280000000005</v>
      </c>
      <c r="L61" s="67">
        <f>L35*Pres.Ventas!$E$116</f>
        <v>0</v>
      </c>
      <c r="M61" s="67">
        <f>M35*Pres.Ventas!$E$116</f>
        <v>1019667.0000000003</v>
      </c>
      <c r="N61" s="67">
        <f>N35*Pres.Ventas!$E$116</f>
        <v>437529.84000000014</v>
      </c>
      <c r="O61" s="123">
        <f>SUM(C61:N61)</f>
        <v>1713040.5600000005</v>
      </c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7" customHeight="1">
      <c r="A62" s="786" t="s">
        <v>13</v>
      </c>
      <c r="B62" s="787"/>
      <c r="C62" s="787">
        <f t="shared" ref="C62:N62" si="12">SUM(C58:C61)</f>
        <v>0</v>
      </c>
      <c r="D62" s="787">
        <f t="shared" si="12"/>
        <v>37078.80000000001</v>
      </c>
      <c r="E62" s="787">
        <f t="shared" si="12"/>
        <v>45977.712000000021</v>
      </c>
      <c r="F62" s="787">
        <f t="shared" si="12"/>
        <v>150539.92800000004</v>
      </c>
      <c r="G62" s="787">
        <f t="shared" si="12"/>
        <v>0</v>
      </c>
      <c r="H62" s="787">
        <f t="shared" si="12"/>
        <v>8898.9120000000021</v>
      </c>
      <c r="I62" s="787">
        <f t="shared" si="12"/>
        <v>2224.7280000000005</v>
      </c>
      <c r="J62" s="787">
        <f t="shared" si="12"/>
        <v>8898.9120000000021</v>
      </c>
      <c r="K62" s="787">
        <f t="shared" si="12"/>
        <v>2224.7280000000005</v>
      </c>
      <c r="L62" s="787">
        <f t="shared" si="12"/>
        <v>0</v>
      </c>
      <c r="M62" s="787">
        <f t="shared" si="12"/>
        <v>1019667.0000000003</v>
      </c>
      <c r="N62" s="787">
        <f t="shared" si="12"/>
        <v>437529.84000000014</v>
      </c>
      <c r="O62" s="788">
        <f>SUM(O59:O61)</f>
        <v>1713040.5600000005</v>
      </c>
      <c r="P62" s="72"/>
      <c r="Q62" s="64"/>
      <c r="R62" s="64"/>
      <c r="S62" s="64"/>
      <c r="T62" s="64"/>
      <c r="U62" s="64"/>
      <c r="V62" s="64"/>
      <c r="W62" s="64"/>
      <c r="X62" s="64"/>
    </row>
    <row r="63" spans="1:24" ht="17" customHeight="1">
      <c r="A63" s="122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123"/>
      <c r="P63" s="64"/>
      <c r="Q63" s="64"/>
      <c r="R63" s="64"/>
      <c r="S63" s="64"/>
      <c r="T63" s="64"/>
      <c r="U63" s="64"/>
      <c r="V63" s="64"/>
      <c r="W63" s="64"/>
      <c r="X63" s="64"/>
    </row>
    <row r="64" spans="1:24" ht="17" customHeight="1">
      <c r="A64" s="124" t="s">
        <v>14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123"/>
      <c r="P64" s="64"/>
      <c r="Q64" s="64"/>
      <c r="R64" s="64"/>
      <c r="S64" s="64"/>
      <c r="T64" s="64"/>
      <c r="U64" s="64"/>
      <c r="V64" s="64"/>
      <c r="W64" s="64"/>
      <c r="X64" s="64"/>
    </row>
    <row r="65" spans="1:24" ht="17" customHeight="1">
      <c r="A65" s="122" t="s">
        <v>15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123">
        <f>SUM(B65:N65)</f>
        <v>0</v>
      </c>
      <c r="P65" s="64"/>
      <c r="Q65" s="64"/>
      <c r="R65" s="64"/>
      <c r="S65" s="64"/>
      <c r="T65" s="64"/>
      <c r="U65" s="64"/>
      <c r="V65" s="64"/>
      <c r="W65" s="64"/>
      <c r="X65" s="64"/>
    </row>
    <row r="66" spans="1:24" ht="17" customHeight="1">
      <c r="A66" s="122" t="s">
        <v>332</v>
      </c>
      <c r="B66" s="67"/>
      <c r="C66" s="67">
        <f>C40*Pres.Ventas!$E$116</f>
        <v>0</v>
      </c>
      <c r="D66" s="67">
        <f>D40*Pres.Ventas!$E$116</f>
        <v>10011.276000000003</v>
      </c>
      <c r="E66" s="67">
        <f>E40*Pres.Ventas!$E$116</f>
        <v>21016.263840000007</v>
      </c>
      <c r="F66" s="67">
        <f>F40*Pres.Ventas!$E$116</f>
        <v>32785.074960000013</v>
      </c>
      <c r="G66" s="67">
        <f>G40*Pres.Ventas!$E$116</f>
        <v>1483.1520000000005</v>
      </c>
      <c r="H66" s="67">
        <f>H40*Pres.Ventas!$E$116</f>
        <v>11004.987840000003</v>
      </c>
      <c r="I66" s="67">
        <f>I40*Pres.Ventas!$E$116</f>
        <v>14987.250960000005</v>
      </c>
      <c r="J66" s="67">
        <f>J40*Pres.Ventas!$E$116</f>
        <v>25836.507840000006</v>
      </c>
      <c r="K66" s="67">
        <f>K40*Pres.Ventas!$E$116</f>
        <v>14987.250960000005</v>
      </c>
      <c r="L66" s="67">
        <f>L40*Pres.Ventas!$E$116</f>
        <v>14831.520000000006</v>
      </c>
      <c r="M66" s="67">
        <f>M40*Pres.Ventas!$E$116</f>
        <v>207826.67400000009</v>
      </c>
      <c r="N66" s="67" t="e">
        <f>N40*Pres.Ventas!$E$116</f>
        <v>#REF!</v>
      </c>
      <c r="O66" s="123" t="e">
        <f>SUM(B66:N66)</f>
        <v>#REF!</v>
      </c>
      <c r="P66" s="64"/>
      <c r="Q66" s="64"/>
      <c r="R66" s="64"/>
      <c r="S66" s="64"/>
      <c r="T66" s="64"/>
      <c r="U66" s="64"/>
      <c r="V66" s="64"/>
      <c r="W66" s="64"/>
      <c r="X66" s="64"/>
    </row>
    <row r="67" spans="1:24" ht="17" customHeight="1">
      <c r="A67" s="122" t="s">
        <v>333</v>
      </c>
      <c r="B67" s="67"/>
      <c r="C67" s="67">
        <f>C41*Pres.Ventas!$E$116</f>
        <v>157500.42813731154</v>
      </c>
      <c r="D67" s="67">
        <f>D41*Pres.Ventas!$E$116</f>
        <v>157500.42813731154</v>
      </c>
      <c r="E67" s="67">
        <f>E41*Pres.Ventas!$E$116</f>
        <v>157500.42813731154</v>
      </c>
      <c r="F67" s="67">
        <f>F41*Pres.Ventas!$E$116</f>
        <v>157500.42813731154</v>
      </c>
      <c r="G67" s="67">
        <f>G41*Pres.Ventas!$E$116</f>
        <v>157500.42813731154</v>
      </c>
      <c r="H67" s="67">
        <f>H41*Pres.Ventas!$E$116</f>
        <v>157500.42813731154</v>
      </c>
      <c r="I67" s="67">
        <f>I41*Pres.Ventas!$E$116</f>
        <v>142668.90813731155</v>
      </c>
      <c r="J67" s="67">
        <f>J41*Pres.Ventas!$E$116</f>
        <v>142668.90813731155</v>
      </c>
      <c r="K67" s="67">
        <f>K41*Pres.Ventas!$E$116</f>
        <v>142668.90813731155</v>
      </c>
      <c r="L67" s="67">
        <f>L41*Pres.Ventas!$E$116</f>
        <v>142668.90813731155</v>
      </c>
      <c r="M67" s="67">
        <f>M41*Pres.Ventas!$E$116</f>
        <v>142668.90813731155</v>
      </c>
      <c r="N67" s="67">
        <f>N41*Pres.Ventas!$E$116</f>
        <v>175588.95325943071</v>
      </c>
      <c r="O67" s="123">
        <f>SUM(C67:N67)</f>
        <v>1833936.0627698572</v>
      </c>
      <c r="P67" s="74"/>
      <c r="Q67" s="64"/>
      <c r="R67" s="64"/>
      <c r="S67" s="64"/>
      <c r="T67" s="64"/>
      <c r="U67" s="64"/>
      <c r="V67" s="64"/>
      <c r="W67" s="64"/>
      <c r="X67" s="64"/>
    </row>
    <row r="68" spans="1:24" ht="17" customHeight="1">
      <c r="A68" s="122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123"/>
      <c r="P68" s="74"/>
      <c r="Q68" s="64"/>
      <c r="R68" s="64"/>
      <c r="S68" s="64"/>
      <c r="T68" s="64"/>
      <c r="U68" s="64"/>
      <c r="V68" s="64"/>
      <c r="W68" s="64"/>
      <c r="X68" s="64"/>
    </row>
    <row r="69" spans="1:24" ht="17" customHeight="1">
      <c r="A69" s="786" t="s">
        <v>138</v>
      </c>
      <c r="B69" s="787"/>
      <c r="C69" s="787">
        <f t="shared" ref="C69:O69" si="13">SUM(C65:C68)</f>
        <v>157500.42813731154</v>
      </c>
      <c r="D69" s="787">
        <f t="shared" si="13"/>
        <v>167511.70413731155</v>
      </c>
      <c r="E69" s="787">
        <f t="shared" si="13"/>
        <v>178516.69197731154</v>
      </c>
      <c r="F69" s="787">
        <f t="shared" si="13"/>
        <v>190285.50309731154</v>
      </c>
      <c r="G69" s="787">
        <f t="shared" si="13"/>
        <v>158983.58013731154</v>
      </c>
      <c r="H69" s="787">
        <f t="shared" si="13"/>
        <v>168505.41597731155</v>
      </c>
      <c r="I69" s="787">
        <f t="shared" si="13"/>
        <v>157656.15909731155</v>
      </c>
      <c r="J69" s="787">
        <f t="shared" si="13"/>
        <v>168505.41597731155</v>
      </c>
      <c r="K69" s="787">
        <f t="shared" si="13"/>
        <v>157656.15909731155</v>
      </c>
      <c r="L69" s="787">
        <f t="shared" si="13"/>
        <v>157500.42813731157</v>
      </c>
      <c r="M69" s="787">
        <f t="shared" si="13"/>
        <v>350495.58213731163</v>
      </c>
      <c r="N69" s="787" t="e">
        <f t="shared" si="13"/>
        <v>#REF!</v>
      </c>
      <c r="O69" s="788" t="e">
        <f t="shared" si="13"/>
        <v>#REF!</v>
      </c>
      <c r="P69" s="75"/>
      <c r="Q69" s="64"/>
      <c r="R69" s="64"/>
      <c r="S69" s="64"/>
      <c r="T69" s="64"/>
      <c r="U69" s="64"/>
      <c r="V69" s="64"/>
      <c r="W69" s="64"/>
      <c r="X69" s="64"/>
    </row>
    <row r="70" spans="1:24" ht="17" customHeight="1">
      <c r="A70" s="125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123"/>
      <c r="P70" s="76"/>
      <c r="Q70" s="64"/>
      <c r="R70" s="64"/>
      <c r="S70" s="64"/>
      <c r="T70" s="64"/>
      <c r="U70" s="64"/>
      <c r="V70" s="64"/>
      <c r="W70" s="64"/>
      <c r="X70" s="64"/>
    </row>
    <row r="71" spans="1:24" ht="17" customHeight="1">
      <c r="A71" s="122" t="s">
        <v>139</v>
      </c>
      <c r="B71" s="67"/>
      <c r="C71" s="67">
        <f>'Pago Financiamto'!G38</f>
        <v>0</v>
      </c>
      <c r="D71" s="67">
        <f>'Pago Financiamto'!G39</f>
        <v>0</v>
      </c>
      <c r="E71" s="67">
        <f>'Pago Financiamto'!G40</f>
        <v>0</v>
      </c>
      <c r="F71" s="67">
        <f>'Pago Financiamto'!G41</f>
        <v>0</v>
      </c>
      <c r="G71" s="67">
        <f>'Pago Financiamto'!G42</f>
        <v>0</v>
      </c>
      <c r="H71" s="67">
        <f>'Pago Financiamto'!G43</f>
        <v>0</v>
      </c>
      <c r="I71" s="67">
        <f>'Pago Financiamto'!G44</f>
        <v>0</v>
      </c>
      <c r="J71" s="67">
        <f>'Pago Financiamto'!G45</f>
        <v>0</v>
      </c>
      <c r="K71" s="67">
        <f>'Pago Financiamto'!G46</f>
        <v>0</v>
      </c>
      <c r="L71" s="67">
        <f>'Pago Financiamto'!G47</f>
        <v>0</v>
      </c>
      <c r="M71" s="67">
        <f>'Pago Financiamto'!G48</f>
        <v>0</v>
      </c>
      <c r="N71" s="67">
        <f>'Pago Financiamto'!G49</f>
        <v>0</v>
      </c>
      <c r="O71" s="123">
        <f>SUM(C71:N71)</f>
        <v>0</v>
      </c>
      <c r="P71" s="72"/>
      <c r="Q71" s="64"/>
      <c r="R71" s="64"/>
      <c r="S71" s="64"/>
      <c r="T71" s="64"/>
      <c r="U71" s="64"/>
      <c r="V71" s="64"/>
      <c r="W71" s="64"/>
      <c r="X71" s="64"/>
    </row>
    <row r="72" spans="1:24" ht="17" customHeight="1">
      <c r="A72" s="122" t="s">
        <v>17</v>
      </c>
      <c r="B72" s="67"/>
      <c r="C72" s="67">
        <f>'Pago Financiamto'!F38</f>
        <v>0</v>
      </c>
      <c r="D72" s="67">
        <f>'Pago Financiamto'!F39</f>
        <v>0</v>
      </c>
      <c r="E72" s="67">
        <f>'Pago Financiamto'!F40</f>
        <v>0</v>
      </c>
      <c r="F72" s="67">
        <f>'Pago Financiamto'!F41</f>
        <v>0</v>
      </c>
      <c r="G72" s="67">
        <f>'Pago Financiamto'!$F$42</f>
        <v>0</v>
      </c>
      <c r="H72" s="67">
        <f>'Pago Financiamto'!F43</f>
        <v>0</v>
      </c>
      <c r="I72" s="67">
        <f>'Pago Financiamto'!F44</f>
        <v>0</v>
      </c>
      <c r="J72" s="67">
        <f>'Pago Financiamto'!F45</f>
        <v>0</v>
      </c>
      <c r="K72" s="67">
        <f>'Pago Financiamto'!F46</f>
        <v>0</v>
      </c>
      <c r="L72" s="67">
        <f>'Pago Financiamto'!F47</f>
        <v>0</v>
      </c>
      <c r="M72" s="67">
        <f>'Pago Financiamto'!F48</f>
        <v>0</v>
      </c>
      <c r="N72" s="67">
        <f>'Pago Financiamto'!F49</f>
        <v>0</v>
      </c>
      <c r="O72" s="123">
        <f>SUM(C72:N72)</f>
        <v>0</v>
      </c>
      <c r="P72" s="72"/>
      <c r="Q72" s="64"/>
      <c r="R72" s="64"/>
      <c r="S72" s="64"/>
      <c r="T72" s="64"/>
      <c r="U72" s="64"/>
      <c r="V72" s="64"/>
      <c r="W72" s="64"/>
      <c r="X72" s="64"/>
    </row>
    <row r="73" spans="1:24" ht="17" customHeight="1">
      <c r="A73" s="122" t="s">
        <v>140</v>
      </c>
      <c r="B73" s="67"/>
      <c r="C73" s="67"/>
      <c r="D73" s="67"/>
      <c r="E73" s="67" t="e">
        <f>'Edo.Result Proy'!C16+'Edo.Result Proy'!C17</f>
        <v>#REF!</v>
      </c>
      <c r="F73" s="67"/>
      <c r="G73" s="67"/>
      <c r="H73" s="67"/>
      <c r="I73" s="67"/>
      <c r="J73" s="67"/>
      <c r="K73" s="67"/>
      <c r="L73" s="67"/>
      <c r="M73" s="67"/>
      <c r="N73" s="67"/>
      <c r="O73" s="123" t="e">
        <f>SUM(C73:N73)</f>
        <v>#REF!</v>
      </c>
      <c r="P73" s="72"/>
      <c r="Q73" s="64"/>
      <c r="R73" s="64"/>
      <c r="S73" s="64"/>
      <c r="T73" s="64"/>
      <c r="U73" s="64"/>
      <c r="V73" s="64"/>
      <c r="W73" s="64"/>
      <c r="X73" s="64"/>
    </row>
    <row r="74" spans="1:24" ht="17" customHeight="1">
      <c r="A74" s="786" t="s">
        <v>18</v>
      </c>
      <c r="B74" s="787"/>
      <c r="C74" s="787">
        <f t="shared" ref="C74:O74" si="14">SUM(C69:C73)</f>
        <v>157500.42813731154</v>
      </c>
      <c r="D74" s="787">
        <f t="shared" si="14"/>
        <v>167511.70413731155</v>
      </c>
      <c r="E74" s="787" t="e">
        <f t="shared" si="14"/>
        <v>#REF!</v>
      </c>
      <c r="F74" s="787">
        <f t="shared" si="14"/>
        <v>190285.50309731154</v>
      </c>
      <c r="G74" s="787">
        <f t="shared" si="14"/>
        <v>158983.58013731154</v>
      </c>
      <c r="H74" s="787">
        <f t="shared" si="14"/>
        <v>168505.41597731155</v>
      </c>
      <c r="I74" s="787">
        <f t="shared" si="14"/>
        <v>157656.15909731155</v>
      </c>
      <c r="J74" s="787">
        <f t="shared" si="14"/>
        <v>168505.41597731155</v>
      </c>
      <c r="K74" s="787">
        <f t="shared" si="14"/>
        <v>157656.15909731155</v>
      </c>
      <c r="L74" s="787">
        <f t="shared" si="14"/>
        <v>157500.42813731157</v>
      </c>
      <c r="M74" s="787">
        <f t="shared" si="14"/>
        <v>350495.58213731163</v>
      </c>
      <c r="N74" s="787" t="e">
        <f t="shared" si="14"/>
        <v>#REF!</v>
      </c>
      <c r="O74" s="788" t="e">
        <f t="shared" si="14"/>
        <v>#REF!</v>
      </c>
      <c r="P74" s="72"/>
      <c r="Q74" s="64"/>
      <c r="R74" s="64"/>
      <c r="S74" s="64"/>
      <c r="T74" s="64"/>
      <c r="U74" s="64"/>
      <c r="V74" s="64"/>
      <c r="W74" s="64"/>
      <c r="X74" s="64"/>
    </row>
    <row r="75" spans="1:24" ht="17" customHeight="1">
      <c r="A75" s="786" t="s">
        <v>50</v>
      </c>
      <c r="B75" s="787"/>
      <c r="C75" s="787">
        <f t="shared" ref="C75:O75" si="15">C62-C74</f>
        <v>-157500.42813731154</v>
      </c>
      <c r="D75" s="787">
        <f t="shared" si="15"/>
        <v>-130432.90413731153</v>
      </c>
      <c r="E75" s="787" t="e">
        <f t="shared" si="15"/>
        <v>#REF!</v>
      </c>
      <c r="F75" s="787">
        <f t="shared" si="15"/>
        <v>-39745.575097311492</v>
      </c>
      <c r="G75" s="787">
        <f t="shared" si="15"/>
        <v>-158983.58013731154</v>
      </c>
      <c r="H75" s="787">
        <f t="shared" si="15"/>
        <v>-159606.50397731154</v>
      </c>
      <c r="I75" s="787">
        <f t="shared" si="15"/>
        <v>-155431.43109731155</v>
      </c>
      <c r="J75" s="787">
        <f t="shared" si="15"/>
        <v>-159606.50397731154</v>
      </c>
      <c r="K75" s="787">
        <f t="shared" si="15"/>
        <v>-155431.43109731155</v>
      </c>
      <c r="L75" s="787">
        <f t="shared" si="15"/>
        <v>-157500.42813731157</v>
      </c>
      <c r="M75" s="787">
        <f t="shared" si="15"/>
        <v>669171.41786268866</v>
      </c>
      <c r="N75" s="787" t="e">
        <f t="shared" si="15"/>
        <v>#REF!</v>
      </c>
      <c r="O75" s="788" t="e">
        <f t="shared" si="15"/>
        <v>#REF!</v>
      </c>
      <c r="P75" s="72"/>
      <c r="Q75" s="64"/>
      <c r="R75" s="64"/>
      <c r="S75" s="64"/>
      <c r="T75" s="64"/>
      <c r="U75" s="64"/>
      <c r="V75" s="64"/>
      <c r="W75" s="64"/>
      <c r="X75" s="64"/>
    </row>
    <row r="76" spans="1:24" ht="17" customHeight="1">
      <c r="A76" s="127" t="s">
        <v>330</v>
      </c>
      <c r="B76" s="67" t="e">
        <f>'Edo.Result Proy'!C18</f>
        <v>#REF!</v>
      </c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123" t="e">
        <f>B76</f>
        <v>#REF!</v>
      </c>
      <c r="P76" s="72"/>
      <c r="Q76" s="64"/>
      <c r="R76" s="64"/>
      <c r="S76" s="64"/>
      <c r="T76" s="64"/>
      <c r="U76" s="64"/>
      <c r="V76" s="64"/>
      <c r="W76" s="64"/>
      <c r="X76" s="64"/>
    </row>
    <row r="77" spans="1:24" ht="17" customHeight="1">
      <c r="A77" s="122" t="s">
        <v>51</v>
      </c>
      <c r="B77" s="67" t="e">
        <f>O52</f>
        <v>#REF!</v>
      </c>
      <c r="C77" s="67" t="e">
        <f t="shared" ref="C77:N77" si="16">B78</f>
        <v>#REF!</v>
      </c>
      <c r="D77" s="67" t="e">
        <f t="shared" si="16"/>
        <v>#REF!</v>
      </c>
      <c r="E77" s="67" t="e">
        <f t="shared" si="16"/>
        <v>#REF!</v>
      </c>
      <c r="F77" s="67" t="e">
        <f t="shared" si="16"/>
        <v>#REF!</v>
      </c>
      <c r="G77" s="67" t="e">
        <f t="shared" si="16"/>
        <v>#REF!</v>
      </c>
      <c r="H77" s="67" t="e">
        <f t="shared" si="16"/>
        <v>#REF!</v>
      </c>
      <c r="I77" s="67" t="e">
        <f t="shared" si="16"/>
        <v>#REF!</v>
      </c>
      <c r="J77" s="67" t="e">
        <f t="shared" si="16"/>
        <v>#REF!</v>
      </c>
      <c r="K77" s="67" t="e">
        <f t="shared" si="16"/>
        <v>#REF!</v>
      </c>
      <c r="L77" s="67" t="e">
        <f t="shared" si="16"/>
        <v>#REF!</v>
      </c>
      <c r="M77" s="67" t="e">
        <f t="shared" si="16"/>
        <v>#REF!</v>
      </c>
      <c r="N77" s="67" t="e">
        <f t="shared" si="16"/>
        <v>#REF!</v>
      </c>
      <c r="O77" s="123" t="e">
        <f>B77</f>
        <v>#REF!</v>
      </c>
      <c r="P77" s="72"/>
      <c r="Q77" s="64"/>
      <c r="R77" s="64"/>
      <c r="S77" s="64"/>
      <c r="T77" s="64"/>
      <c r="U77" s="64"/>
      <c r="V77" s="64"/>
      <c r="W77" s="64"/>
      <c r="X77" s="64"/>
    </row>
    <row r="78" spans="1:24" ht="17" customHeight="1" thickBot="1">
      <c r="A78" s="783" t="s">
        <v>203</v>
      </c>
      <c r="B78" s="784" t="e">
        <f>B75-B76+B77</f>
        <v>#REF!</v>
      </c>
      <c r="C78" s="784" t="e">
        <f t="shared" ref="C78:N78" si="17">SUM(C75:C77)</f>
        <v>#REF!</v>
      </c>
      <c r="D78" s="784" t="e">
        <f t="shared" si="17"/>
        <v>#REF!</v>
      </c>
      <c r="E78" s="784" t="e">
        <f t="shared" si="17"/>
        <v>#REF!</v>
      </c>
      <c r="F78" s="784" t="e">
        <f t="shared" si="17"/>
        <v>#REF!</v>
      </c>
      <c r="G78" s="784" t="e">
        <f t="shared" si="17"/>
        <v>#REF!</v>
      </c>
      <c r="H78" s="784" t="e">
        <f t="shared" si="17"/>
        <v>#REF!</v>
      </c>
      <c r="I78" s="784" t="e">
        <f t="shared" si="17"/>
        <v>#REF!</v>
      </c>
      <c r="J78" s="784" t="e">
        <f t="shared" si="17"/>
        <v>#REF!</v>
      </c>
      <c r="K78" s="784" t="e">
        <f t="shared" si="17"/>
        <v>#REF!</v>
      </c>
      <c r="L78" s="784" t="e">
        <f t="shared" si="17"/>
        <v>#REF!</v>
      </c>
      <c r="M78" s="784" t="e">
        <f t="shared" si="17"/>
        <v>#REF!</v>
      </c>
      <c r="N78" s="784" t="e">
        <f t="shared" si="17"/>
        <v>#REF!</v>
      </c>
      <c r="O78" s="785" t="e">
        <f>O75-O76+O77</f>
        <v>#REF!</v>
      </c>
      <c r="P78" s="72" t="e">
        <f>N78-O78</f>
        <v>#REF!</v>
      </c>
      <c r="Q78" s="64"/>
      <c r="R78" s="64"/>
      <c r="S78" s="64"/>
      <c r="T78" s="64"/>
      <c r="U78" s="64"/>
      <c r="V78" s="64"/>
      <c r="W78" s="64"/>
      <c r="X78" s="64"/>
    </row>
    <row r="79" spans="1:24" ht="17" customHeight="1">
      <c r="A79" s="71"/>
      <c r="B79" s="119" t="e">
        <f>B78-E73</f>
        <v>#REF!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2"/>
      <c r="Q79" s="64"/>
      <c r="R79" s="64"/>
      <c r="S79" s="64"/>
      <c r="T79" s="64"/>
      <c r="U79" s="64"/>
      <c r="V79" s="64"/>
      <c r="W79" s="64"/>
      <c r="X79" s="64"/>
    </row>
    <row r="80" spans="1:24" ht="17" customHeight="1" thickBo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64"/>
      <c r="Q80" s="64"/>
      <c r="R80" s="64"/>
      <c r="S80" s="64"/>
      <c r="T80" s="64"/>
      <c r="U80" s="64"/>
      <c r="V80" s="64"/>
      <c r="W80" s="64"/>
      <c r="X80" s="64"/>
    </row>
    <row r="81" spans="1:24" ht="17" customHeight="1" thickBot="1">
      <c r="A81" s="1270" t="s">
        <v>221</v>
      </c>
      <c r="B81" s="1271"/>
      <c r="C81" s="1271"/>
      <c r="D81" s="1271"/>
      <c r="E81" s="1271"/>
      <c r="F81" s="1271"/>
      <c r="G81" s="1271"/>
      <c r="H81" s="1271"/>
      <c r="I81" s="1271"/>
      <c r="J81" s="1271"/>
      <c r="K81" s="1271"/>
      <c r="L81" s="1271"/>
      <c r="M81" s="1271"/>
      <c r="N81" s="1271"/>
      <c r="O81" s="1272"/>
      <c r="P81" s="64"/>
      <c r="Q81" s="64"/>
      <c r="R81" s="64"/>
      <c r="S81" s="64"/>
      <c r="T81" s="64"/>
      <c r="U81" s="64"/>
      <c r="V81" s="64"/>
      <c r="W81" s="64"/>
      <c r="X81" s="64"/>
    </row>
    <row r="82" spans="1:24" ht="18.75" customHeight="1" thickTop="1">
      <c r="A82" s="1279" t="s">
        <v>1</v>
      </c>
      <c r="B82" s="1281" t="s">
        <v>136</v>
      </c>
      <c r="C82" s="1281" t="s">
        <v>38</v>
      </c>
      <c r="D82" s="1281" t="s">
        <v>39</v>
      </c>
      <c r="E82" s="1281" t="s">
        <v>40</v>
      </c>
      <c r="F82" s="1281" t="s">
        <v>41</v>
      </c>
      <c r="G82" s="1281" t="s">
        <v>42</v>
      </c>
      <c r="H82" s="1281" t="s">
        <v>43</v>
      </c>
      <c r="I82" s="1281" t="s">
        <v>44</v>
      </c>
      <c r="J82" s="1281" t="s">
        <v>45</v>
      </c>
      <c r="K82" s="1281" t="s">
        <v>46</v>
      </c>
      <c r="L82" s="1281" t="s">
        <v>47</v>
      </c>
      <c r="M82" s="1281" t="s">
        <v>48</v>
      </c>
      <c r="N82" s="1281" t="s">
        <v>49</v>
      </c>
      <c r="O82" s="1280" t="s">
        <v>35</v>
      </c>
      <c r="P82" s="64"/>
      <c r="Q82" s="64"/>
      <c r="R82" s="64"/>
      <c r="S82" s="64"/>
      <c r="T82" s="64"/>
      <c r="U82" s="64"/>
      <c r="V82" s="64"/>
      <c r="W82" s="64"/>
      <c r="X82" s="64"/>
    </row>
    <row r="83" spans="1:24" ht="16.5" customHeight="1" thickBot="1">
      <c r="A83" s="1274"/>
      <c r="B83" s="1276"/>
      <c r="C83" s="1276"/>
      <c r="D83" s="1276" t="s">
        <v>39</v>
      </c>
      <c r="E83" s="1276" t="s">
        <v>40</v>
      </c>
      <c r="F83" s="1276" t="s">
        <v>41</v>
      </c>
      <c r="G83" s="1276" t="s">
        <v>42</v>
      </c>
      <c r="H83" s="1276" t="s">
        <v>43</v>
      </c>
      <c r="I83" s="1276" t="s">
        <v>44</v>
      </c>
      <c r="J83" s="1276" t="s">
        <v>45</v>
      </c>
      <c r="K83" s="1276" t="s">
        <v>46</v>
      </c>
      <c r="L83" s="1276" t="s">
        <v>47</v>
      </c>
      <c r="M83" s="1276" t="s">
        <v>48</v>
      </c>
      <c r="N83" s="1276" t="s">
        <v>49</v>
      </c>
      <c r="O83" s="1278"/>
      <c r="P83" s="64"/>
      <c r="Q83" s="64"/>
      <c r="R83" s="64"/>
      <c r="S83" s="64"/>
      <c r="T83" s="64"/>
      <c r="U83" s="64"/>
      <c r="V83" s="64"/>
      <c r="W83" s="64"/>
      <c r="X83" s="64"/>
    </row>
    <row r="84" spans="1:24" ht="17" customHeight="1" thickTop="1">
      <c r="A84" s="120" t="s">
        <v>217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121"/>
      <c r="P84" s="64"/>
      <c r="Q84" s="64"/>
      <c r="R84" s="64"/>
      <c r="S84" s="64"/>
      <c r="T84" s="64"/>
      <c r="U84" s="64"/>
      <c r="V84" s="64"/>
      <c r="W84" s="64"/>
      <c r="X84" s="64"/>
    </row>
    <row r="85" spans="1:24" ht="17" customHeight="1">
      <c r="A85" s="122" t="s">
        <v>11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123">
        <f>SUM(B85:N85)</f>
        <v>0</v>
      </c>
      <c r="P85" s="64"/>
      <c r="Q85" s="64"/>
      <c r="R85" s="64"/>
      <c r="S85" s="64"/>
      <c r="T85" s="64"/>
      <c r="U85" s="64"/>
      <c r="V85" s="64"/>
      <c r="W85" s="64"/>
      <c r="X85" s="64"/>
    </row>
    <row r="86" spans="1:24" ht="17" customHeight="1">
      <c r="A86" s="122" t="s">
        <v>214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123">
        <f>SUM(B86:N86)</f>
        <v>0</v>
      </c>
      <c r="P86" s="64"/>
      <c r="Q86" s="64"/>
      <c r="R86" s="64"/>
      <c r="S86" s="64"/>
      <c r="T86" s="64"/>
      <c r="U86" s="64"/>
      <c r="V86" s="64"/>
      <c r="W86" s="64"/>
      <c r="X86" s="64"/>
    </row>
    <row r="87" spans="1:24" ht="17" customHeight="1">
      <c r="A87" s="122" t="s">
        <v>12</v>
      </c>
      <c r="B87" s="67"/>
      <c r="C87" s="67">
        <f>C61*Pres.Ventas!$F$116</f>
        <v>0</v>
      </c>
      <c r="D87" s="67">
        <f>D61*Pres.Ventas!$F$116</f>
        <v>55062.018000000025</v>
      </c>
      <c r="E87" s="67">
        <f>E61*Pres.Ventas!$F$116</f>
        <v>68276.902320000052</v>
      </c>
      <c r="F87" s="67">
        <f>F61*Pres.Ventas!$F$116</f>
        <v>223551.79308000012</v>
      </c>
      <c r="G87" s="67">
        <f>G61*Pres.Ventas!$F$116</f>
        <v>0</v>
      </c>
      <c r="H87" s="67">
        <f>H61*Pres.Ventas!$F$116</f>
        <v>13214.884320000006</v>
      </c>
      <c r="I87" s="67">
        <f>I61*Pres.Ventas!$F$116</f>
        <v>3303.7210800000016</v>
      </c>
      <c r="J87" s="67">
        <f>J61*Pres.Ventas!$F$116</f>
        <v>13214.884320000006</v>
      </c>
      <c r="K87" s="67">
        <f>K61*Pres.Ventas!$F$116</f>
        <v>3303.7210800000016</v>
      </c>
      <c r="L87" s="67">
        <f>L61*Pres.Ventas!$F$116</f>
        <v>0</v>
      </c>
      <c r="M87" s="67">
        <f>M61*Pres.Ventas!$F$116</f>
        <v>1514205.4950000008</v>
      </c>
      <c r="N87" s="67">
        <f>N61*Pres.Ventas!$F$116</f>
        <v>649731.8124000004</v>
      </c>
      <c r="O87" s="123">
        <f>SUM(C87:N87)</f>
        <v>2543865.2316000015</v>
      </c>
      <c r="P87" s="64"/>
      <c r="Q87" s="64"/>
      <c r="R87" s="64"/>
      <c r="S87" s="64"/>
      <c r="T87" s="64"/>
      <c r="U87" s="64"/>
      <c r="V87" s="64"/>
      <c r="W87" s="64"/>
      <c r="X87" s="64"/>
    </row>
    <row r="88" spans="1:24" ht="17" customHeight="1">
      <c r="A88" s="786" t="s">
        <v>13</v>
      </c>
      <c r="B88" s="787"/>
      <c r="C88" s="787">
        <f t="shared" ref="C88:N88" si="18">SUM(C84:C87)</f>
        <v>0</v>
      </c>
      <c r="D88" s="787">
        <f t="shared" si="18"/>
        <v>55062.018000000025</v>
      </c>
      <c r="E88" s="787">
        <f t="shared" si="18"/>
        <v>68276.902320000052</v>
      </c>
      <c r="F88" s="787">
        <f t="shared" si="18"/>
        <v>223551.79308000012</v>
      </c>
      <c r="G88" s="787">
        <f t="shared" si="18"/>
        <v>0</v>
      </c>
      <c r="H88" s="787">
        <f t="shared" si="18"/>
        <v>13214.884320000006</v>
      </c>
      <c r="I88" s="787">
        <f t="shared" si="18"/>
        <v>3303.7210800000016</v>
      </c>
      <c r="J88" s="787">
        <f t="shared" si="18"/>
        <v>13214.884320000006</v>
      </c>
      <c r="K88" s="787">
        <f t="shared" si="18"/>
        <v>3303.7210800000016</v>
      </c>
      <c r="L88" s="787">
        <f t="shared" si="18"/>
        <v>0</v>
      </c>
      <c r="M88" s="787">
        <f t="shared" si="18"/>
        <v>1514205.4950000008</v>
      </c>
      <c r="N88" s="787">
        <f t="shared" si="18"/>
        <v>649731.8124000004</v>
      </c>
      <c r="O88" s="788">
        <f>SUM(O85:O87)</f>
        <v>2543865.2316000015</v>
      </c>
      <c r="P88" s="64"/>
      <c r="Q88" s="64"/>
      <c r="R88" s="64"/>
      <c r="S88" s="64"/>
      <c r="T88" s="64"/>
      <c r="U88" s="64"/>
      <c r="V88" s="64"/>
      <c r="W88" s="64"/>
      <c r="X88" s="64"/>
    </row>
    <row r="89" spans="1:24" ht="17" customHeight="1">
      <c r="A89" s="122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123"/>
      <c r="P89" s="64"/>
      <c r="Q89" s="64"/>
      <c r="R89" s="64"/>
      <c r="S89" s="64"/>
      <c r="T89" s="64"/>
      <c r="U89" s="64"/>
      <c r="V89" s="64"/>
      <c r="W89" s="64"/>
      <c r="X89" s="64"/>
    </row>
    <row r="90" spans="1:24" ht="17" customHeight="1">
      <c r="A90" s="124" t="s">
        <v>14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123"/>
      <c r="P90" s="64"/>
      <c r="Q90" s="64"/>
      <c r="R90" s="64"/>
      <c r="S90" s="64"/>
      <c r="T90" s="64"/>
      <c r="U90" s="64"/>
      <c r="V90" s="64"/>
      <c r="W90" s="64"/>
      <c r="X90" s="64"/>
    </row>
    <row r="91" spans="1:24" ht="17" customHeight="1">
      <c r="A91" s="122" t="s">
        <v>15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123"/>
      <c r="P91" s="64"/>
      <c r="Q91" s="64"/>
      <c r="R91" s="64"/>
      <c r="S91" s="64"/>
      <c r="T91" s="64"/>
      <c r="U91" s="64"/>
      <c r="V91" s="64"/>
      <c r="W91" s="64"/>
      <c r="X91" s="64"/>
    </row>
    <row r="92" spans="1:24" ht="17" customHeight="1">
      <c r="A92" s="122" t="s">
        <v>332</v>
      </c>
      <c r="B92" s="67"/>
      <c r="C92" s="67">
        <f>C66*Pres.Ventas!$F$116</f>
        <v>0</v>
      </c>
      <c r="D92" s="67">
        <f>D66*Pres.Ventas!$F$116</f>
        <v>14866.744860000008</v>
      </c>
      <c r="E92" s="67">
        <f>E66*Pres.Ventas!$F$116</f>
        <v>31209.151802400018</v>
      </c>
      <c r="F92" s="67">
        <f>F66*Pres.Ventas!$F$116</f>
        <v>48685.836315600027</v>
      </c>
      <c r="G92" s="67">
        <f>G66*Pres.Ventas!$F$116</f>
        <v>2202.4807200000014</v>
      </c>
      <c r="H92" s="67">
        <f>H66*Pres.Ventas!$F$116</f>
        <v>16342.406942400008</v>
      </c>
      <c r="I92" s="67">
        <f>I66*Pres.Ventas!$F$116</f>
        <v>22256.06767560001</v>
      </c>
      <c r="J92" s="67">
        <f>J66*Pres.Ventas!$F$116</f>
        <v>38367.214142400015</v>
      </c>
      <c r="K92" s="67">
        <f>K66*Pres.Ventas!$F$116</f>
        <v>22256.06767560001</v>
      </c>
      <c r="L92" s="67">
        <f>L66*Pres.Ventas!$F$116</f>
        <v>22024.807200000014</v>
      </c>
      <c r="M92" s="67">
        <f>M66*Pres.Ventas!$F$116</f>
        <v>308622.61089000019</v>
      </c>
      <c r="N92" s="67" t="e">
        <f>N66*Pres.Ventas!$F$116</f>
        <v>#REF!</v>
      </c>
      <c r="O92" s="123" t="e">
        <f>SUM(B92:N92)</f>
        <v>#REF!</v>
      </c>
      <c r="P92" s="64"/>
      <c r="Q92" s="64"/>
      <c r="R92" s="64"/>
      <c r="S92" s="64"/>
      <c r="T92" s="64"/>
      <c r="U92" s="64"/>
      <c r="V92" s="64"/>
      <c r="W92" s="64"/>
      <c r="X92" s="64"/>
    </row>
    <row r="93" spans="1:24" ht="17" customHeight="1">
      <c r="A93" s="122" t="s">
        <v>333</v>
      </c>
      <c r="B93" s="67"/>
      <c r="C93" s="67">
        <f>C67*Pres.Ventas!$F$116</f>
        <v>233888.1357839077</v>
      </c>
      <c r="D93" s="67">
        <f>D67*Pres.Ventas!$F$116</f>
        <v>233888.1357839077</v>
      </c>
      <c r="E93" s="67">
        <f>E67*Pres.Ventas!$F$116</f>
        <v>233888.1357839077</v>
      </c>
      <c r="F93" s="67">
        <f>F67*Pres.Ventas!$F$116</f>
        <v>233888.1357839077</v>
      </c>
      <c r="G93" s="67">
        <f>G67*Pres.Ventas!$F$116</f>
        <v>233888.1357839077</v>
      </c>
      <c r="H93" s="67">
        <f>H67*Pres.Ventas!$F$116</f>
        <v>233888.1357839077</v>
      </c>
      <c r="I93" s="67">
        <f>I67*Pres.Ventas!$F$116</f>
        <v>211863.32858390769</v>
      </c>
      <c r="J93" s="67">
        <f>J67*Pres.Ventas!$F$116</f>
        <v>211863.32858390769</v>
      </c>
      <c r="K93" s="67">
        <f>K67*Pres.Ventas!$F$116</f>
        <v>211863.32858390769</v>
      </c>
      <c r="L93" s="67">
        <f>L67*Pres.Ventas!$F$116</f>
        <v>211863.32858390769</v>
      </c>
      <c r="M93" s="67">
        <f>M67*Pres.Ventas!$F$116</f>
        <v>211863.32858390769</v>
      </c>
      <c r="N93" s="67">
        <f>N67*Pres.Ventas!$F$116</f>
        <v>260749.59559025467</v>
      </c>
      <c r="O93" s="123">
        <f>SUM(C93:N93)</f>
        <v>2723395.0532132396</v>
      </c>
      <c r="P93" s="64"/>
      <c r="Q93" s="64"/>
      <c r="R93" s="64"/>
      <c r="S93" s="64"/>
      <c r="T93" s="64"/>
      <c r="U93" s="64"/>
      <c r="V93" s="64"/>
      <c r="W93" s="64"/>
      <c r="X93" s="64"/>
    </row>
    <row r="94" spans="1:24" ht="17" customHeight="1">
      <c r="A94" s="122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123"/>
      <c r="P94" s="64"/>
      <c r="Q94" s="64"/>
      <c r="R94" s="64"/>
      <c r="S94" s="64"/>
      <c r="T94" s="64"/>
      <c r="U94" s="64"/>
      <c r="V94" s="64"/>
      <c r="W94" s="64"/>
      <c r="X94" s="64"/>
    </row>
    <row r="95" spans="1:24" ht="17.25" customHeight="1">
      <c r="A95" s="786" t="s">
        <v>138</v>
      </c>
      <c r="B95" s="787"/>
      <c r="C95" s="787">
        <f t="shared" ref="C95:O95" si="19">SUM(C91:C94)</f>
        <v>233888.1357839077</v>
      </c>
      <c r="D95" s="787">
        <f t="shared" si="19"/>
        <v>248754.8806439077</v>
      </c>
      <c r="E95" s="787">
        <f t="shared" si="19"/>
        <v>265097.28758630774</v>
      </c>
      <c r="F95" s="787">
        <f t="shared" si="19"/>
        <v>282573.97209950769</v>
      </c>
      <c r="G95" s="787">
        <f t="shared" si="19"/>
        <v>236090.61650390769</v>
      </c>
      <c r="H95" s="787">
        <f t="shared" si="19"/>
        <v>250230.5427263077</v>
      </c>
      <c r="I95" s="787">
        <f t="shared" si="19"/>
        <v>234119.39625950769</v>
      </c>
      <c r="J95" s="787">
        <f t="shared" si="19"/>
        <v>250230.5427263077</v>
      </c>
      <c r="K95" s="787">
        <f t="shared" si="19"/>
        <v>234119.39625950769</v>
      </c>
      <c r="L95" s="787">
        <f t="shared" si="19"/>
        <v>233888.1357839077</v>
      </c>
      <c r="M95" s="787">
        <f t="shared" si="19"/>
        <v>520485.93947390787</v>
      </c>
      <c r="N95" s="787" t="e">
        <f t="shared" si="19"/>
        <v>#REF!</v>
      </c>
      <c r="O95" s="788" t="e">
        <f t="shared" si="19"/>
        <v>#REF!</v>
      </c>
      <c r="P95" s="64"/>
      <c r="Q95" s="64"/>
      <c r="R95" s="64"/>
      <c r="S95" s="64"/>
      <c r="T95" s="64"/>
      <c r="U95" s="64"/>
      <c r="V95" s="64"/>
      <c r="W95" s="64"/>
      <c r="X95" s="64"/>
    </row>
    <row r="96" spans="1:24" ht="19.5" customHeight="1">
      <c r="A96" s="125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123">
        <f>SUM(C96:N96)</f>
        <v>0</v>
      </c>
      <c r="P96" s="64"/>
      <c r="Q96" s="64"/>
      <c r="R96" s="64"/>
      <c r="S96" s="64"/>
      <c r="T96" s="64"/>
      <c r="U96" s="64"/>
      <c r="V96" s="64"/>
      <c r="W96" s="64"/>
      <c r="X96" s="64"/>
    </row>
    <row r="97" spans="1:24" ht="17" customHeight="1">
      <c r="A97" s="122" t="s">
        <v>139</v>
      </c>
      <c r="B97" s="67"/>
      <c r="C97" s="67">
        <f>'Pago Financiamto'!G50</f>
        <v>0</v>
      </c>
      <c r="D97" s="67">
        <f>'Pago Financiamto'!G51</f>
        <v>0</v>
      </c>
      <c r="E97" s="67">
        <f>'Pago Financiamto'!G52</f>
        <v>0</v>
      </c>
      <c r="F97" s="67">
        <f>'Pago Financiamto'!G53</f>
        <v>0</v>
      </c>
      <c r="G97" s="67">
        <f>'Pago Financiamto'!G54</f>
        <v>0</v>
      </c>
      <c r="H97" s="67">
        <f>'Pago Financiamto'!G55</f>
        <v>0</v>
      </c>
      <c r="I97" s="67">
        <f>'Pago Financiamto'!G56</f>
        <v>0</v>
      </c>
      <c r="J97" s="67">
        <f>'Pago Financiamto'!G57</f>
        <v>0</v>
      </c>
      <c r="K97" s="67">
        <f>'Pago Financiamto'!G58</f>
        <v>0</v>
      </c>
      <c r="L97" s="67">
        <f>'Pago Financiamto'!G59</f>
        <v>0</v>
      </c>
      <c r="M97" s="67">
        <f>'Pago Financiamto'!G60</f>
        <v>0</v>
      </c>
      <c r="N97" s="67">
        <f>'Pago Financiamto'!G61</f>
        <v>0</v>
      </c>
      <c r="O97" s="123">
        <f>SUM(C97:N97)</f>
        <v>0</v>
      </c>
      <c r="P97" s="77"/>
      <c r="Q97" s="72"/>
      <c r="R97" s="64"/>
      <c r="S97" s="64"/>
      <c r="T97" s="64"/>
      <c r="U97" s="64"/>
      <c r="V97" s="64"/>
      <c r="W97" s="64"/>
      <c r="X97" s="64"/>
    </row>
    <row r="98" spans="1:24" ht="17" customHeight="1">
      <c r="A98" s="122" t="s">
        <v>17</v>
      </c>
      <c r="B98" s="67"/>
      <c r="C98" s="67">
        <f>'Pago Financiamto'!F50</f>
        <v>0</v>
      </c>
      <c r="D98" s="67">
        <f>'Pago Financiamto'!F51</f>
        <v>0</v>
      </c>
      <c r="E98" s="67">
        <f>'Pago Financiamto'!F52</f>
        <v>0</v>
      </c>
      <c r="F98" s="67">
        <f>'Pago Financiamto'!F53</f>
        <v>0</v>
      </c>
      <c r="G98" s="67">
        <f>'Pago Financiamto'!F54</f>
        <v>0</v>
      </c>
      <c r="H98" s="67">
        <f>'Pago Financiamto'!F55</f>
        <v>0</v>
      </c>
      <c r="I98" s="67">
        <f>'Pago Financiamto'!F56</f>
        <v>0</v>
      </c>
      <c r="J98" s="67">
        <f>'Pago Financiamto'!F57</f>
        <v>0</v>
      </c>
      <c r="K98" s="67">
        <f>'Pago Financiamto'!F58</f>
        <v>0</v>
      </c>
      <c r="L98" s="67">
        <f>'Pago Financiamto'!F59</f>
        <v>0</v>
      </c>
      <c r="M98" s="67">
        <f>'Pago Financiamto'!F60</f>
        <v>0</v>
      </c>
      <c r="N98" s="67">
        <f>'Pago Financiamto'!F61</f>
        <v>0</v>
      </c>
      <c r="O98" s="123">
        <f>SUM(C98:N98)</f>
        <v>0</v>
      </c>
      <c r="P98" s="79"/>
      <c r="Q98" s="64"/>
      <c r="R98" s="64"/>
      <c r="S98" s="64"/>
      <c r="T98" s="64"/>
      <c r="U98" s="64"/>
      <c r="V98" s="64"/>
      <c r="W98" s="64"/>
      <c r="X98" s="64"/>
    </row>
    <row r="99" spans="1:24" ht="17" customHeight="1">
      <c r="A99" s="122" t="s">
        <v>140</v>
      </c>
      <c r="B99" s="67"/>
      <c r="C99" s="67"/>
      <c r="D99" s="67"/>
      <c r="E99" s="67" t="e">
        <f>'Edo.Result Proy'!D16+'Edo.Result Proy'!D17</f>
        <v>#REF!</v>
      </c>
      <c r="F99" s="67"/>
      <c r="G99" s="67"/>
      <c r="H99" s="67"/>
      <c r="I99" s="67"/>
      <c r="J99" s="67"/>
      <c r="K99" s="67"/>
      <c r="L99" s="67"/>
      <c r="M99" s="78"/>
      <c r="N99" s="67"/>
      <c r="O99" s="123" t="e">
        <f>SUM(C99:N99)</f>
        <v>#REF!</v>
      </c>
      <c r="P99" s="77"/>
      <c r="Q99" s="64"/>
      <c r="R99" s="64"/>
      <c r="S99" s="64"/>
      <c r="T99" s="64"/>
      <c r="U99" s="64"/>
      <c r="V99" s="64"/>
      <c r="W99" s="64"/>
      <c r="X99" s="64"/>
    </row>
    <row r="100" spans="1:24" ht="17" customHeight="1">
      <c r="A100" s="786" t="s">
        <v>18</v>
      </c>
      <c r="B100" s="787"/>
      <c r="C100" s="787">
        <f t="shared" ref="C100:O100" si="20">SUM(C95:C99)</f>
        <v>233888.1357839077</v>
      </c>
      <c r="D100" s="787">
        <f t="shared" si="20"/>
        <v>248754.8806439077</v>
      </c>
      <c r="E100" s="787" t="e">
        <f>SUM(E95:E99)</f>
        <v>#REF!</v>
      </c>
      <c r="F100" s="787">
        <f t="shared" si="20"/>
        <v>282573.97209950769</v>
      </c>
      <c r="G100" s="787">
        <f t="shared" si="20"/>
        <v>236090.61650390769</v>
      </c>
      <c r="H100" s="787">
        <f t="shared" si="20"/>
        <v>250230.5427263077</v>
      </c>
      <c r="I100" s="787">
        <f t="shared" si="20"/>
        <v>234119.39625950769</v>
      </c>
      <c r="J100" s="787">
        <f t="shared" si="20"/>
        <v>250230.5427263077</v>
      </c>
      <c r="K100" s="787">
        <f t="shared" si="20"/>
        <v>234119.39625950769</v>
      </c>
      <c r="L100" s="787">
        <f t="shared" si="20"/>
        <v>233888.1357839077</v>
      </c>
      <c r="M100" s="787">
        <f t="shared" si="20"/>
        <v>520485.93947390787</v>
      </c>
      <c r="N100" s="787" t="e">
        <f t="shared" si="20"/>
        <v>#REF!</v>
      </c>
      <c r="O100" s="788" t="e">
        <f t="shared" si="20"/>
        <v>#REF!</v>
      </c>
      <c r="P100" s="79"/>
      <c r="Q100" s="64"/>
      <c r="R100" s="64"/>
      <c r="S100" s="64"/>
      <c r="T100" s="64"/>
      <c r="U100" s="64"/>
      <c r="V100" s="64"/>
      <c r="W100" s="64"/>
      <c r="X100" s="64"/>
    </row>
    <row r="101" spans="1:24" ht="17" customHeight="1">
      <c r="A101" s="786" t="s">
        <v>50</v>
      </c>
      <c r="B101" s="787"/>
      <c r="C101" s="787">
        <f t="shared" ref="C101:O101" si="21">C88-C100</f>
        <v>-233888.1357839077</v>
      </c>
      <c r="D101" s="787">
        <f t="shared" si="21"/>
        <v>-193692.86264390766</v>
      </c>
      <c r="E101" s="787" t="e">
        <f t="shared" si="21"/>
        <v>#REF!</v>
      </c>
      <c r="F101" s="787">
        <f t="shared" si="21"/>
        <v>-59022.179019507574</v>
      </c>
      <c r="G101" s="787">
        <f t="shared" si="21"/>
        <v>-236090.61650390769</v>
      </c>
      <c r="H101" s="787">
        <f t="shared" si="21"/>
        <v>-237015.65840630769</v>
      </c>
      <c r="I101" s="787">
        <f t="shared" si="21"/>
        <v>-230815.6751795077</v>
      </c>
      <c r="J101" s="787">
        <f t="shared" si="21"/>
        <v>-237015.65840630769</v>
      </c>
      <c r="K101" s="787">
        <f t="shared" si="21"/>
        <v>-230815.6751795077</v>
      </c>
      <c r="L101" s="787">
        <f t="shared" si="21"/>
        <v>-233888.1357839077</v>
      </c>
      <c r="M101" s="787">
        <f t="shared" si="21"/>
        <v>993719.55552609288</v>
      </c>
      <c r="N101" s="787" t="e">
        <f t="shared" si="21"/>
        <v>#REF!</v>
      </c>
      <c r="O101" s="788" t="e">
        <f t="shared" si="21"/>
        <v>#REF!</v>
      </c>
      <c r="P101" s="77"/>
      <c r="Q101" s="64"/>
      <c r="R101" s="64"/>
      <c r="S101" s="64"/>
      <c r="T101" s="64"/>
      <c r="U101" s="64"/>
      <c r="V101" s="64"/>
      <c r="W101" s="64"/>
      <c r="X101" s="64"/>
    </row>
    <row r="102" spans="1:24" ht="17" customHeight="1">
      <c r="A102" s="127" t="s">
        <v>330</v>
      </c>
      <c r="B102" s="67" t="e">
        <f>'Edo.Result Proy'!D18</f>
        <v>#REF!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123" t="e">
        <f>B102</f>
        <v>#REF!</v>
      </c>
      <c r="P102" s="64"/>
      <c r="Q102" s="64"/>
      <c r="R102" s="64"/>
      <c r="S102" s="64"/>
      <c r="T102" s="64"/>
      <c r="U102" s="64"/>
      <c r="V102" s="64"/>
      <c r="W102" s="64"/>
      <c r="X102" s="64"/>
    </row>
    <row r="103" spans="1:24" ht="17" customHeight="1">
      <c r="A103" s="122" t="s">
        <v>51</v>
      </c>
      <c r="B103" s="67" t="e">
        <f>O78</f>
        <v>#REF!</v>
      </c>
      <c r="C103" s="67" t="e">
        <f t="shared" ref="C103:N103" si="22">B104</f>
        <v>#REF!</v>
      </c>
      <c r="D103" s="67" t="e">
        <f t="shared" si="22"/>
        <v>#REF!</v>
      </c>
      <c r="E103" s="67" t="e">
        <f t="shared" si="22"/>
        <v>#REF!</v>
      </c>
      <c r="F103" s="67" t="e">
        <f t="shared" si="22"/>
        <v>#REF!</v>
      </c>
      <c r="G103" s="67" t="e">
        <f t="shared" si="22"/>
        <v>#REF!</v>
      </c>
      <c r="H103" s="67" t="e">
        <f t="shared" si="22"/>
        <v>#REF!</v>
      </c>
      <c r="I103" s="67" t="e">
        <f t="shared" si="22"/>
        <v>#REF!</v>
      </c>
      <c r="J103" s="67" t="e">
        <f t="shared" si="22"/>
        <v>#REF!</v>
      </c>
      <c r="K103" s="67" t="e">
        <f t="shared" si="22"/>
        <v>#REF!</v>
      </c>
      <c r="L103" s="67" t="e">
        <f t="shared" si="22"/>
        <v>#REF!</v>
      </c>
      <c r="M103" s="67" t="e">
        <f t="shared" si="22"/>
        <v>#REF!</v>
      </c>
      <c r="N103" s="67" t="e">
        <f t="shared" si="22"/>
        <v>#REF!</v>
      </c>
      <c r="O103" s="123" t="e">
        <f>B103</f>
        <v>#REF!</v>
      </c>
      <c r="P103" s="64"/>
      <c r="Q103" s="64"/>
      <c r="R103" s="64"/>
      <c r="S103" s="64"/>
      <c r="T103" s="64"/>
      <c r="U103" s="64"/>
      <c r="V103" s="64"/>
      <c r="W103" s="64"/>
      <c r="X103" s="64"/>
    </row>
    <row r="104" spans="1:24" ht="17" customHeight="1" thickBot="1">
      <c r="A104" s="783" t="s">
        <v>203</v>
      </c>
      <c r="B104" s="784" t="e">
        <f>B101-B102+B103</f>
        <v>#REF!</v>
      </c>
      <c r="C104" s="784" t="e">
        <f t="shared" ref="C104:N104" si="23">SUM(C101:C103)</f>
        <v>#REF!</v>
      </c>
      <c r="D104" s="784" t="e">
        <f t="shared" si="23"/>
        <v>#REF!</v>
      </c>
      <c r="E104" s="784" t="e">
        <f t="shared" si="23"/>
        <v>#REF!</v>
      </c>
      <c r="F104" s="784" t="e">
        <f t="shared" si="23"/>
        <v>#REF!</v>
      </c>
      <c r="G104" s="784" t="e">
        <f t="shared" si="23"/>
        <v>#REF!</v>
      </c>
      <c r="H104" s="784" t="e">
        <f t="shared" si="23"/>
        <v>#REF!</v>
      </c>
      <c r="I104" s="784" t="e">
        <f t="shared" si="23"/>
        <v>#REF!</v>
      </c>
      <c r="J104" s="784" t="e">
        <f t="shared" si="23"/>
        <v>#REF!</v>
      </c>
      <c r="K104" s="784" t="e">
        <f t="shared" si="23"/>
        <v>#REF!</v>
      </c>
      <c r="L104" s="784" t="e">
        <f t="shared" si="23"/>
        <v>#REF!</v>
      </c>
      <c r="M104" s="784" t="e">
        <f t="shared" si="23"/>
        <v>#REF!</v>
      </c>
      <c r="N104" s="784" t="e">
        <f t="shared" si="23"/>
        <v>#REF!</v>
      </c>
      <c r="O104" s="785" t="e">
        <f>O101-O102+O103</f>
        <v>#REF!</v>
      </c>
      <c r="P104" s="70" t="e">
        <f>O104-N104</f>
        <v>#REF!</v>
      </c>
      <c r="Q104" s="64"/>
      <c r="R104" s="64"/>
      <c r="S104" s="64"/>
      <c r="T104" s="64"/>
      <c r="U104" s="64"/>
      <c r="V104" s="64"/>
      <c r="W104" s="64"/>
      <c r="X104" s="64"/>
    </row>
    <row r="105" spans="1:24" ht="17" customHeight="1">
      <c r="A105" s="71"/>
      <c r="B105" s="119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64"/>
      <c r="Q105" s="64"/>
      <c r="R105" s="64"/>
      <c r="S105" s="64"/>
      <c r="T105" s="64"/>
      <c r="U105" s="64"/>
      <c r="V105" s="64"/>
      <c r="W105" s="64"/>
      <c r="X105" s="64"/>
    </row>
    <row r="106" spans="1:24" ht="17" customHeight="1" thickBo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64"/>
      <c r="Q106" s="64"/>
      <c r="R106" s="64"/>
      <c r="S106" s="64"/>
      <c r="T106" s="64"/>
      <c r="U106" s="64"/>
      <c r="V106" s="64"/>
      <c r="W106" s="64"/>
      <c r="X106" s="64"/>
    </row>
    <row r="107" spans="1:24" ht="16" thickBot="1">
      <c r="A107" s="1270" t="s">
        <v>141</v>
      </c>
      <c r="B107" s="1271"/>
      <c r="C107" s="1271"/>
      <c r="D107" s="1271"/>
      <c r="E107" s="1271"/>
      <c r="F107" s="1271"/>
      <c r="G107" s="1271"/>
      <c r="H107" s="1271"/>
      <c r="I107" s="1271"/>
      <c r="J107" s="1271"/>
      <c r="K107" s="1271"/>
      <c r="L107" s="1271"/>
      <c r="M107" s="1271"/>
      <c r="N107" s="1271"/>
      <c r="O107" s="1272"/>
      <c r="P107" s="64"/>
      <c r="Q107" s="64"/>
      <c r="R107" s="64"/>
      <c r="S107" s="64"/>
      <c r="T107" s="64"/>
      <c r="U107" s="64"/>
      <c r="V107" s="64"/>
      <c r="W107" s="64"/>
      <c r="X107" s="64"/>
    </row>
    <row r="108" spans="1:24" ht="12" thickTop="1">
      <c r="A108" s="1279" t="s">
        <v>1</v>
      </c>
      <c r="B108" s="1281" t="s">
        <v>136</v>
      </c>
      <c r="C108" s="1281" t="s">
        <v>38</v>
      </c>
      <c r="D108" s="1281" t="s">
        <v>39</v>
      </c>
      <c r="E108" s="1281" t="s">
        <v>40</v>
      </c>
      <c r="F108" s="1281" t="s">
        <v>41</v>
      </c>
      <c r="G108" s="1281" t="s">
        <v>42</v>
      </c>
      <c r="H108" s="1281" t="s">
        <v>43</v>
      </c>
      <c r="I108" s="1281" t="s">
        <v>44</v>
      </c>
      <c r="J108" s="1281" t="s">
        <v>45</v>
      </c>
      <c r="K108" s="1281" t="s">
        <v>46</v>
      </c>
      <c r="L108" s="1281" t="s">
        <v>47</v>
      </c>
      <c r="M108" s="1281" t="s">
        <v>48</v>
      </c>
      <c r="N108" s="1281" t="s">
        <v>49</v>
      </c>
      <c r="O108" s="1280" t="s">
        <v>35</v>
      </c>
      <c r="P108" s="64"/>
      <c r="Q108" s="64"/>
      <c r="R108" s="64"/>
      <c r="S108" s="64"/>
      <c r="T108" s="64"/>
      <c r="U108" s="64"/>
      <c r="V108" s="64"/>
      <c r="W108" s="64"/>
      <c r="X108" s="64"/>
    </row>
    <row r="109" spans="1:24" ht="12" thickBot="1">
      <c r="A109" s="1274"/>
      <c r="B109" s="1276"/>
      <c r="C109" s="1276"/>
      <c r="D109" s="1276" t="s">
        <v>39</v>
      </c>
      <c r="E109" s="1276" t="s">
        <v>40</v>
      </c>
      <c r="F109" s="1276" t="s">
        <v>41</v>
      </c>
      <c r="G109" s="1276" t="s">
        <v>42</v>
      </c>
      <c r="H109" s="1276" t="s">
        <v>43</v>
      </c>
      <c r="I109" s="1276" t="s">
        <v>44</v>
      </c>
      <c r="J109" s="1276" t="s">
        <v>45</v>
      </c>
      <c r="K109" s="1276" t="s">
        <v>46</v>
      </c>
      <c r="L109" s="1276" t="s">
        <v>47</v>
      </c>
      <c r="M109" s="1276" t="s">
        <v>48</v>
      </c>
      <c r="N109" s="1276" t="s">
        <v>49</v>
      </c>
      <c r="O109" s="1278"/>
      <c r="P109" s="64"/>
      <c r="Q109" s="64"/>
      <c r="R109" s="64"/>
      <c r="S109" s="64"/>
      <c r="T109" s="64"/>
      <c r="U109" s="64"/>
      <c r="V109" s="64"/>
      <c r="W109" s="64"/>
      <c r="X109" s="64"/>
    </row>
    <row r="110" spans="1:24" ht="19.5" customHeight="1" thickTop="1">
      <c r="A110" s="120" t="s">
        <v>217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121"/>
      <c r="P110" s="64"/>
      <c r="Q110" s="64"/>
      <c r="R110" s="64"/>
      <c r="S110" s="64"/>
      <c r="T110" s="64"/>
      <c r="U110" s="64"/>
      <c r="V110" s="64"/>
      <c r="W110" s="64"/>
      <c r="X110" s="64"/>
    </row>
    <row r="111" spans="1:24" ht="15" customHeight="1">
      <c r="A111" s="122" t="s">
        <v>11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123"/>
      <c r="P111" s="64"/>
      <c r="Q111" s="64"/>
      <c r="R111" s="64"/>
      <c r="S111" s="64"/>
      <c r="T111" s="64"/>
      <c r="U111" s="64"/>
      <c r="V111" s="64"/>
      <c r="W111" s="64"/>
      <c r="X111" s="64"/>
    </row>
    <row r="112" spans="1:24" ht="15" customHeight="1">
      <c r="A112" s="122" t="s">
        <v>214</v>
      </c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123"/>
      <c r="P112" s="64"/>
      <c r="Q112" s="64"/>
      <c r="R112" s="64"/>
      <c r="S112" s="64"/>
      <c r="T112" s="64"/>
      <c r="U112" s="64"/>
      <c r="V112" s="64"/>
      <c r="W112" s="64"/>
      <c r="X112" s="64"/>
    </row>
    <row r="113" spans="1:24" ht="15.75" customHeight="1">
      <c r="A113" s="122" t="s">
        <v>12</v>
      </c>
      <c r="B113" s="67"/>
      <c r="C113" s="67">
        <f>C87*Pres.Ventas!$G$116</f>
        <v>0</v>
      </c>
      <c r="D113" s="67">
        <f>D87*Pres.Ventas!$G$116</f>
        <v>85483.782945000057</v>
      </c>
      <c r="E113" s="67">
        <f>E87*Pres.Ventas!$G$116</f>
        <v>105999.8908518001</v>
      </c>
      <c r="F113" s="67">
        <f>F87*Pres.Ventas!$G$116</f>
        <v>347064.15875670023</v>
      </c>
      <c r="G113" s="67">
        <f>G87*Pres.Ventas!$G$116</f>
        <v>0</v>
      </c>
      <c r="H113" s="67">
        <f>H87*Pres.Ventas!$G$116</f>
        <v>20516.107906800014</v>
      </c>
      <c r="I113" s="67">
        <f>I87*Pres.Ventas!$G$116</f>
        <v>5129.0269767000036</v>
      </c>
      <c r="J113" s="67">
        <f>J87*Pres.Ventas!$G$116</f>
        <v>20516.107906800014</v>
      </c>
      <c r="K113" s="67">
        <f>K87*Pres.Ventas!$G$116</f>
        <v>5129.0269767000036</v>
      </c>
      <c r="L113" s="67">
        <f>L87*Pres.Ventas!$G$116</f>
        <v>0</v>
      </c>
      <c r="M113" s="67">
        <f>M87*Pres.Ventas!$G$116</f>
        <v>2350804.0309875016</v>
      </c>
      <c r="N113" s="67">
        <f>N87*Pres.Ventas!$G$116</f>
        <v>1008708.6387510007</v>
      </c>
      <c r="O113" s="123">
        <f>SUM(C113:N113)</f>
        <v>3949350.7720590024</v>
      </c>
      <c r="P113" s="64"/>
      <c r="Q113" s="64"/>
      <c r="R113" s="64"/>
      <c r="S113" s="64"/>
      <c r="T113" s="64"/>
      <c r="U113" s="64"/>
      <c r="V113" s="64"/>
      <c r="W113" s="64"/>
      <c r="X113" s="64"/>
    </row>
    <row r="114" spans="1:24" ht="15.75" customHeight="1">
      <c r="A114" s="786" t="s">
        <v>13</v>
      </c>
      <c r="B114" s="787"/>
      <c r="C114" s="787">
        <f t="shared" ref="C114:N114" si="24">SUM(C110:C113)</f>
        <v>0</v>
      </c>
      <c r="D114" s="787">
        <f t="shared" si="24"/>
        <v>85483.782945000057</v>
      </c>
      <c r="E114" s="787">
        <f t="shared" si="24"/>
        <v>105999.8908518001</v>
      </c>
      <c r="F114" s="787">
        <f t="shared" si="24"/>
        <v>347064.15875670023</v>
      </c>
      <c r="G114" s="787">
        <f t="shared" si="24"/>
        <v>0</v>
      </c>
      <c r="H114" s="787">
        <f t="shared" si="24"/>
        <v>20516.107906800014</v>
      </c>
      <c r="I114" s="787">
        <f t="shared" si="24"/>
        <v>5129.0269767000036</v>
      </c>
      <c r="J114" s="787">
        <f t="shared" si="24"/>
        <v>20516.107906800014</v>
      </c>
      <c r="K114" s="787">
        <f t="shared" si="24"/>
        <v>5129.0269767000036</v>
      </c>
      <c r="L114" s="787">
        <f t="shared" si="24"/>
        <v>0</v>
      </c>
      <c r="M114" s="787">
        <f t="shared" si="24"/>
        <v>2350804.0309875016</v>
      </c>
      <c r="N114" s="787">
        <f t="shared" si="24"/>
        <v>1008708.6387510007</v>
      </c>
      <c r="O114" s="788">
        <f>SUM(O111:O113)</f>
        <v>3949350.7720590024</v>
      </c>
      <c r="P114" s="64"/>
      <c r="Q114" s="64"/>
      <c r="R114" s="64"/>
      <c r="S114" s="64"/>
      <c r="T114" s="64"/>
      <c r="U114" s="64"/>
      <c r="V114" s="64"/>
      <c r="W114" s="64"/>
      <c r="X114" s="64"/>
    </row>
    <row r="115" spans="1:24">
      <c r="A115" s="122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123"/>
      <c r="P115" s="64"/>
      <c r="Q115" s="64"/>
      <c r="R115" s="64"/>
      <c r="S115" s="64"/>
      <c r="T115" s="64"/>
      <c r="U115" s="64"/>
      <c r="V115" s="64"/>
      <c r="W115" s="64"/>
      <c r="X115" s="64"/>
    </row>
    <row r="116" spans="1:24" ht="12.75" customHeight="1">
      <c r="A116" s="124" t="s">
        <v>14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123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1:24" ht="15.75" customHeight="1">
      <c r="A117" s="122" t="s">
        <v>15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123">
        <f>SUM(B117:N117)</f>
        <v>0</v>
      </c>
      <c r="P117" s="64"/>
      <c r="Q117" s="64"/>
      <c r="R117" s="64"/>
      <c r="S117" s="64"/>
      <c r="T117" s="64"/>
      <c r="U117" s="64"/>
      <c r="V117" s="64"/>
      <c r="W117" s="64"/>
      <c r="X117" s="64"/>
    </row>
    <row r="118" spans="1:24" ht="15.75" customHeight="1">
      <c r="A118" s="122" t="s">
        <v>332</v>
      </c>
      <c r="B118" s="67"/>
      <c r="C118" s="67">
        <f>C92*Pres.Ventas!$G$116</f>
        <v>0</v>
      </c>
      <c r="D118" s="67">
        <f>D92*Pres.Ventas!$G$116</f>
        <v>23080.621395150014</v>
      </c>
      <c r="E118" s="67">
        <f>E92*Pres.Ventas!$G$116</f>
        <v>48452.208173226034</v>
      </c>
      <c r="F118" s="67">
        <f>F92*Pres.Ventas!$G$116</f>
        <v>75584.76087996905</v>
      </c>
      <c r="G118" s="67">
        <f>G92*Pres.Ventas!$G$116</f>
        <v>3419.3513178000026</v>
      </c>
      <c r="H118" s="67">
        <f>H92*Pres.Ventas!$G$116</f>
        <v>25371.586778076016</v>
      </c>
      <c r="I118" s="67">
        <f>I92*Pres.Ventas!$G$116</f>
        <v>34552.545066369021</v>
      </c>
      <c r="J118" s="67">
        <f>J92*Pres.Ventas!$G$116</f>
        <v>59565.099956076032</v>
      </c>
      <c r="K118" s="67">
        <f>K92*Pres.Ventas!$G$116</f>
        <v>34552.545066369021</v>
      </c>
      <c r="L118" s="67">
        <f>L92*Pres.Ventas!$G$116</f>
        <v>34193.513178000023</v>
      </c>
      <c r="M118" s="67">
        <f>M92*Pres.Ventas!$G$116</f>
        <v>479136.60340672533</v>
      </c>
      <c r="N118" s="67" t="e">
        <f>N92*Pres.Ventas!$G$116</f>
        <v>#REF!</v>
      </c>
      <c r="O118" s="123" t="e">
        <f>SUM(B118:N118)</f>
        <v>#REF!</v>
      </c>
      <c r="P118" s="64"/>
      <c r="Q118" s="64"/>
      <c r="R118" s="64"/>
      <c r="S118" s="64"/>
      <c r="T118" s="64"/>
      <c r="U118" s="64"/>
      <c r="V118" s="64"/>
      <c r="W118" s="64"/>
      <c r="X118" s="64"/>
    </row>
    <row r="119" spans="1:24" ht="18" customHeight="1">
      <c r="A119" s="122" t="s">
        <v>333</v>
      </c>
      <c r="B119" s="67"/>
      <c r="C119" s="67">
        <f>C93*Pres.Ventas!$G$116</f>
        <v>363111.33080451674</v>
      </c>
      <c r="D119" s="67">
        <f>D93*Pres.Ventas!$G$116</f>
        <v>363111.33080451674</v>
      </c>
      <c r="E119" s="67">
        <f>E93*Pres.Ventas!$G$116</f>
        <v>363111.33080451674</v>
      </c>
      <c r="F119" s="67">
        <f>F93*Pres.Ventas!$G$116</f>
        <v>363111.33080451674</v>
      </c>
      <c r="G119" s="67">
        <f>G93*Pres.Ventas!$G$116</f>
        <v>363111.33080451674</v>
      </c>
      <c r="H119" s="67">
        <f>H93*Pres.Ventas!$G$116</f>
        <v>363111.33080451674</v>
      </c>
      <c r="I119" s="67">
        <f>I93*Pres.Ventas!$G$116</f>
        <v>328917.81762651674</v>
      </c>
      <c r="J119" s="67">
        <f>J93*Pres.Ventas!$G$116</f>
        <v>328917.81762651674</v>
      </c>
      <c r="K119" s="67">
        <f>K93*Pres.Ventas!$G$116</f>
        <v>328917.81762651674</v>
      </c>
      <c r="L119" s="67">
        <f>L93*Pres.Ventas!$G$116</f>
        <v>328917.81762651674</v>
      </c>
      <c r="M119" s="67">
        <f>M93*Pres.Ventas!$G$116</f>
        <v>328917.81762651674</v>
      </c>
      <c r="N119" s="67">
        <f>N93*Pres.Ventas!$G$116</f>
        <v>404813.74715387041</v>
      </c>
      <c r="O119" s="123">
        <f>SUM(C119:N119)</f>
        <v>4228070.8201135546</v>
      </c>
      <c r="P119" s="64"/>
      <c r="Q119" s="64"/>
      <c r="R119" s="64"/>
      <c r="S119" s="64"/>
      <c r="T119" s="64"/>
      <c r="U119" s="64"/>
      <c r="V119" s="64"/>
      <c r="W119" s="64"/>
      <c r="X119" s="64"/>
    </row>
    <row r="120" spans="1:24">
      <c r="A120" s="122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123"/>
      <c r="P120" s="64"/>
      <c r="Q120" s="64"/>
      <c r="R120" s="64"/>
      <c r="S120" s="64"/>
      <c r="T120" s="64"/>
      <c r="U120" s="64"/>
      <c r="V120" s="64"/>
      <c r="W120" s="64"/>
      <c r="X120" s="64"/>
    </row>
    <row r="121" spans="1:24" ht="18.75" customHeight="1">
      <c r="A121" s="786" t="s">
        <v>138</v>
      </c>
      <c r="B121" s="787"/>
      <c r="C121" s="787">
        <f t="shared" ref="C121:O121" si="25">SUM(C117:C120)</f>
        <v>363111.33080451674</v>
      </c>
      <c r="D121" s="787">
        <f t="shared" si="25"/>
        <v>386191.95219966676</v>
      </c>
      <c r="E121" s="787">
        <f t="shared" si="25"/>
        <v>411563.53897774278</v>
      </c>
      <c r="F121" s="787">
        <f t="shared" si="25"/>
        <v>438696.09168448579</v>
      </c>
      <c r="G121" s="787">
        <f t="shared" si="25"/>
        <v>366530.68212231674</v>
      </c>
      <c r="H121" s="787">
        <f t="shared" si="25"/>
        <v>388482.91758259275</v>
      </c>
      <c r="I121" s="787">
        <f t="shared" si="25"/>
        <v>363470.36269288574</v>
      </c>
      <c r="J121" s="787">
        <f t="shared" si="25"/>
        <v>388482.91758259275</v>
      </c>
      <c r="K121" s="787">
        <f t="shared" si="25"/>
        <v>363470.36269288574</v>
      </c>
      <c r="L121" s="787">
        <f t="shared" si="25"/>
        <v>363111.33080451679</v>
      </c>
      <c r="M121" s="787">
        <f t="shared" si="25"/>
        <v>808054.42103324202</v>
      </c>
      <c r="N121" s="787" t="e">
        <f t="shared" si="25"/>
        <v>#REF!</v>
      </c>
      <c r="O121" s="788" t="e">
        <f t="shared" si="25"/>
        <v>#REF!</v>
      </c>
      <c r="P121" s="64"/>
      <c r="Q121" s="64"/>
      <c r="R121" s="64"/>
      <c r="S121" s="64"/>
      <c r="T121" s="64"/>
      <c r="U121" s="64"/>
      <c r="V121" s="64"/>
      <c r="W121" s="64"/>
      <c r="X121" s="64"/>
    </row>
    <row r="122" spans="1:24">
      <c r="A122" s="125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139"/>
      <c r="P122" s="64"/>
      <c r="Q122" s="64"/>
      <c r="R122" s="64"/>
      <c r="S122" s="64"/>
      <c r="T122" s="64"/>
      <c r="U122" s="64"/>
      <c r="V122" s="64"/>
      <c r="W122" s="64"/>
      <c r="X122" s="64"/>
    </row>
    <row r="123" spans="1:24" ht="16.5" customHeight="1">
      <c r="A123" s="122" t="s">
        <v>139</v>
      </c>
      <c r="B123" s="67"/>
      <c r="C123" s="67">
        <f>'Pago Financiamto'!G62</f>
        <v>0</v>
      </c>
      <c r="D123" s="67">
        <f>'Pago Financiamto'!G63</f>
        <v>0</v>
      </c>
      <c r="E123" s="67">
        <f>'Pago Financiamto'!G64</f>
        <v>0</v>
      </c>
      <c r="F123" s="67">
        <f>'Pago Financiamto'!G65</f>
        <v>0</v>
      </c>
      <c r="G123" s="67">
        <f>'Pago Financiamto'!G66</f>
        <v>0</v>
      </c>
      <c r="H123" s="67">
        <f>'Pago Financiamto'!G67</f>
        <v>0</v>
      </c>
      <c r="I123" s="67">
        <f>'Pago Financiamto'!G68</f>
        <v>0</v>
      </c>
      <c r="J123" s="67">
        <f>'Pago Financiamto'!G69</f>
        <v>0</v>
      </c>
      <c r="K123" s="67">
        <f>'Pago Financiamto'!G70</f>
        <v>0</v>
      </c>
      <c r="L123" s="67">
        <f>'Pago Financiamto'!G71</f>
        <v>0</v>
      </c>
      <c r="M123" s="67">
        <f>'Pago Financiamto'!G72</f>
        <v>0</v>
      </c>
      <c r="N123" s="67">
        <f>'Pago Financiamto'!G73</f>
        <v>0</v>
      </c>
      <c r="O123" s="123">
        <f>SUM(C123:N123)</f>
        <v>0</v>
      </c>
      <c r="P123" s="64"/>
      <c r="Q123" s="64"/>
      <c r="R123" s="64"/>
      <c r="S123" s="64"/>
      <c r="T123" s="64"/>
      <c r="U123" s="64"/>
      <c r="V123" s="64"/>
      <c r="W123" s="64"/>
      <c r="X123" s="64"/>
    </row>
    <row r="124" spans="1:24" ht="15.75" customHeight="1">
      <c r="A124" s="122" t="s">
        <v>17</v>
      </c>
      <c r="B124" s="67"/>
      <c r="C124" s="67">
        <f>'Pago Financiamto'!F62</f>
        <v>0</v>
      </c>
      <c r="D124" s="67">
        <f>'Pago Financiamto'!F63</f>
        <v>0</v>
      </c>
      <c r="E124" s="67">
        <f>'Pago Financiamto'!F64</f>
        <v>0</v>
      </c>
      <c r="F124" s="67">
        <f>'Pago Financiamto'!F65</f>
        <v>0</v>
      </c>
      <c r="G124" s="67">
        <f>'Pago Financiamto'!F66</f>
        <v>0</v>
      </c>
      <c r="H124" s="67">
        <f>'Pago Financiamto'!F67</f>
        <v>0</v>
      </c>
      <c r="I124" s="67">
        <f>'Pago Financiamto'!F68</f>
        <v>0</v>
      </c>
      <c r="J124" s="67">
        <f>'Pago Financiamto'!F69</f>
        <v>0</v>
      </c>
      <c r="K124" s="67">
        <f>'Pago Financiamto'!F70</f>
        <v>0</v>
      </c>
      <c r="L124" s="67">
        <f>'Pago Financiamto'!F71</f>
        <v>0</v>
      </c>
      <c r="M124" s="67">
        <f>'Pago Financiamto'!F72</f>
        <v>0</v>
      </c>
      <c r="N124" s="67">
        <f>'Pago Financiamto'!F73</f>
        <v>0</v>
      </c>
      <c r="O124" s="123">
        <f>SUM(C124:N124)</f>
        <v>0</v>
      </c>
      <c r="P124" s="64"/>
      <c r="Q124" s="64"/>
      <c r="R124" s="64"/>
      <c r="S124" s="64"/>
      <c r="T124" s="64"/>
      <c r="U124" s="64"/>
      <c r="V124" s="64"/>
      <c r="W124" s="64"/>
      <c r="X124" s="64"/>
    </row>
    <row r="125" spans="1:24" ht="18.75" customHeight="1">
      <c r="A125" s="122" t="s">
        <v>140</v>
      </c>
      <c r="B125" s="67"/>
      <c r="C125" s="67"/>
      <c r="D125" s="67"/>
      <c r="E125" s="67" t="e">
        <f>'Edo.Result Proy'!E16+'Edo.Result Proy'!E17</f>
        <v>#REF!</v>
      </c>
      <c r="F125" s="67"/>
      <c r="G125" s="67"/>
      <c r="H125" s="67"/>
      <c r="I125" s="67"/>
      <c r="J125" s="67"/>
      <c r="K125" s="67"/>
      <c r="L125" s="67"/>
      <c r="M125" s="78"/>
      <c r="N125" s="67"/>
      <c r="O125" s="123" t="e">
        <f>SUM(C125:N125)</f>
        <v>#REF!</v>
      </c>
      <c r="P125" s="64"/>
      <c r="Q125" s="64"/>
      <c r="R125" s="64"/>
      <c r="S125" s="64"/>
      <c r="T125" s="64"/>
      <c r="U125" s="64"/>
      <c r="V125" s="64"/>
      <c r="W125" s="64"/>
      <c r="X125" s="64"/>
    </row>
    <row r="126" spans="1:24" ht="16.5" customHeight="1">
      <c r="A126" s="786" t="s">
        <v>18</v>
      </c>
      <c r="B126" s="787"/>
      <c r="C126" s="787">
        <f t="shared" ref="C126:O126" si="26">SUM(C121:C125)</f>
        <v>363111.33080451674</v>
      </c>
      <c r="D126" s="787">
        <f t="shared" si="26"/>
        <v>386191.95219966676</v>
      </c>
      <c r="E126" s="787" t="e">
        <f t="shared" si="26"/>
        <v>#REF!</v>
      </c>
      <c r="F126" s="787">
        <f t="shared" si="26"/>
        <v>438696.09168448579</v>
      </c>
      <c r="G126" s="787">
        <f t="shared" si="26"/>
        <v>366530.68212231674</v>
      </c>
      <c r="H126" s="787">
        <f t="shared" si="26"/>
        <v>388482.91758259275</v>
      </c>
      <c r="I126" s="787">
        <f t="shared" si="26"/>
        <v>363470.36269288574</v>
      </c>
      <c r="J126" s="787">
        <f t="shared" si="26"/>
        <v>388482.91758259275</v>
      </c>
      <c r="K126" s="787">
        <f t="shared" si="26"/>
        <v>363470.36269288574</v>
      </c>
      <c r="L126" s="787">
        <f t="shared" si="26"/>
        <v>363111.33080451679</v>
      </c>
      <c r="M126" s="787">
        <f t="shared" si="26"/>
        <v>808054.42103324202</v>
      </c>
      <c r="N126" s="787" t="e">
        <f t="shared" si="26"/>
        <v>#REF!</v>
      </c>
      <c r="O126" s="788" t="e">
        <f t="shared" si="26"/>
        <v>#REF!</v>
      </c>
      <c r="P126" s="64"/>
      <c r="Q126" s="64"/>
      <c r="R126" s="64"/>
      <c r="S126" s="64"/>
      <c r="T126" s="64"/>
      <c r="U126" s="64"/>
      <c r="V126" s="64"/>
      <c r="W126" s="64"/>
      <c r="X126" s="64"/>
    </row>
    <row r="127" spans="1:24" ht="16.5" customHeight="1">
      <c r="A127" s="786" t="s">
        <v>50</v>
      </c>
      <c r="B127" s="787"/>
      <c r="C127" s="787">
        <f t="shared" ref="C127:O127" si="27">C114-C126</f>
        <v>-363111.33080451674</v>
      </c>
      <c r="D127" s="787">
        <f t="shared" si="27"/>
        <v>-300708.16925466672</v>
      </c>
      <c r="E127" s="787" t="e">
        <f t="shared" si="27"/>
        <v>#REF!</v>
      </c>
      <c r="F127" s="787">
        <f t="shared" si="27"/>
        <v>-91631.932927785558</v>
      </c>
      <c r="G127" s="787">
        <f t="shared" si="27"/>
        <v>-366530.68212231674</v>
      </c>
      <c r="H127" s="787">
        <f t="shared" si="27"/>
        <v>-367966.80967579276</v>
      </c>
      <c r="I127" s="787">
        <f t="shared" si="27"/>
        <v>-358341.33571618574</v>
      </c>
      <c r="J127" s="787">
        <f t="shared" si="27"/>
        <v>-367966.80967579276</v>
      </c>
      <c r="K127" s="787">
        <f t="shared" si="27"/>
        <v>-358341.33571618574</v>
      </c>
      <c r="L127" s="787">
        <f t="shared" si="27"/>
        <v>-363111.33080451679</v>
      </c>
      <c r="M127" s="787">
        <f t="shared" si="27"/>
        <v>1542749.6099542596</v>
      </c>
      <c r="N127" s="787" t="e">
        <f t="shared" si="27"/>
        <v>#REF!</v>
      </c>
      <c r="O127" s="788" t="e">
        <f t="shared" si="27"/>
        <v>#REF!</v>
      </c>
      <c r="P127" s="64"/>
      <c r="Q127" s="64"/>
      <c r="R127" s="64"/>
      <c r="S127" s="64"/>
      <c r="T127" s="64"/>
      <c r="U127" s="64"/>
      <c r="V127" s="64"/>
      <c r="W127" s="64"/>
      <c r="X127" s="64"/>
    </row>
    <row r="128" spans="1:24" ht="16.5" customHeight="1">
      <c r="A128" s="127" t="s">
        <v>330</v>
      </c>
      <c r="B128" s="67" t="e">
        <f>'Edo.Result Proy'!E18</f>
        <v>#REF!</v>
      </c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123" t="e">
        <f>B128</f>
        <v>#REF!</v>
      </c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4" ht="18.75" customHeight="1">
      <c r="A129" s="122" t="s">
        <v>51</v>
      </c>
      <c r="B129" s="67" t="e">
        <f>O104</f>
        <v>#REF!</v>
      </c>
      <c r="C129" s="67" t="e">
        <f t="shared" ref="C129:N129" si="28">B130</f>
        <v>#REF!</v>
      </c>
      <c r="D129" s="67" t="e">
        <f t="shared" si="28"/>
        <v>#REF!</v>
      </c>
      <c r="E129" s="67" t="e">
        <f t="shared" si="28"/>
        <v>#REF!</v>
      </c>
      <c r="F129" s="67" t="e">
        <f t="shared" si="28"/>
        <v>#REF!</v>
      </c>
      <c r="G129" s="67" t="e">
        <f t="shared" si="28"/>
        <v>#REF!</v>
      </c>
      <c r="H129" s="67" t="e">
        <f t="shared" si="28"/>
        <v>#REF!</v>
      </c>
      <c r="I129" s="67" t="e">
        <f t="shared" si="28"/>
        <v>#REF!</v>
      </c>
      <c r="J129" s="67" t="e">
        <f t="shared" si="28"/>
        <v>#REF!</v>
      </c>
      <c r="K129" s="67" t="e">
        <f t="shared" si="28"/>
        <v>#REF!</v>
      </c>
      <c r="L129" s="67" t="e">
        <f t="shared" si="28"/>
        <v>#REF!</v>
      </c>
      <c r="M129" s="67" t="e">
        <f t="shared" si="28"/>
        <v>#REF!</v>
      </c>
      <c r="N129" s="67" t="e">
        <f t="shared" si="28"/>
        <v>#REF!</v>
      </c>
      <c r="O129" s="123" t="e">
        <f>B129</f>
        <v>#REF!</v>
      </c>
      <c r="P129" s="64"/>
      <c r="Q129" s="64"/>
      <c r="R129" s="64"/>
      <c r="S129" s="64"/>
      <c r="T129" s="64"/>
      <c r="U129" s="64"/>
      <c r="V129" s="64"/>
      <c r="W129" s="64"/>
      <c r="X129" s="64"/>
    </row>
    <row r="130" spans="1:24" ht="21" customHeight="1" thickBot="1">
      <c r="A130" s="783" t="s">
        <v>203</v>
      </c>
      <c r="B130" s="784" t="e">
        <f>B127-B128+B129</f>
        <v>#REF!</v>
      </c>
      <c r="C130" s="784" t="e">
        <f t="shared" ref="C130:N130" si="29">SUM(C127:C129)</f>
        <v>#REF!</v>
      </c>
      <c r="D130" s="784" t="e">
        <f t="shared" si="29"/>
        <v>#REF!</v>
      </c>
      <c r="E130" s="784" t="e">
        <f t="shared" si="29"/>
        <v>#REF!</v>
      </c>
      <c r="F130" s="784" t="e">
        <f t="shared" si="29"/>
        <v>#REF!</v>
      </c>
      <c r="G130" s="784" t="e">
        <f t="shared" si="29"/>
        <v>#REF!</v>
      </c>
      <c r="H130" s="784" t="e">
        <f t="shared" si="29"/>
        <v>#REF!</v>
      </c>
      <c r="I130" s="784" t="e">
        <f t="shared" si="29"/>
        <v>#REF!</v>
      </c>
      <c r="J130" s="784" t="e">
        <f t="shared" si="29"/>
        <v>#REF!</v>
      </c>
      <c r="K130" s="784" t="e">
        <f t="shared" si="29"/>
        <v>#REF!</v>
      </c>
      <c r="L130" s="784" t="e">
        <f t="shared" si="29"/>
        <v>#REF!</v>
      </c>
      <c r="M130" s="784" t="e">
        <f t="shared" si="29"/>
        <v>#REF!</v>
      </c>
      <c r="N130" s="784" t="e">
        <f t="shared" si="29"/>
        <v>#REF!</v>
      </c>
      <c r="O130" s="785" t="e">
        <f>O127-O128+O129</f>
        <v>#REF!</v>
      </c>
      <c r="P130" s="64"/>
      <c r="Q130" s="64"/>
      <c r="R130" s="64"/>
      <c r="S130" s="64"/>
      <c r="T130" s="64"/>
      <c r="U130" s="64"/>
      <c r="V130" s="64"/>
      <c r="W130" s="64"/>
      <c r="X130" s="64"/>
    </row>
    <row r="131" spans="1:24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64"/>
      <c r="Q131" s="64"/>
      <c r="R131" s="64"/>
      <c r="S131" s="64"/>
      <c r="T131" s="64"/>
      <c r="U131" s="64"/>
      <c r="V131" s="64"/>
      <c r="W131" s="64"/>
      <c r="X131" s="64"/>
    </row>
    <row r="132" spans="1:24">
      <c r="A132" s="71"/>
      <c r="B132" s="119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64"/>
      <c r="Q132" s="64"/>
      <c r="R132" s="64"/>
      <c r="S132" s="64"/>
      <c r="T132" s="64"/>
      <c r="U132" s="64"/>
      <c r="V132" s="64"/>
      <c r="W132" s="64"/>
      <c r="X132" s="64"/>
    </row>
    <row r="133" spans="1:24">
      <c r="A133" s="80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64"/>
      <c r="Q133" s="64"/>
      <c r="R133" s="64"/>
      <c r="S133" s="64"/>
      <c r="T133" s="64"/>
      <c r="U133" s="64"/>
      <c r="V133" s="64"/>
      <c r="W133" s="64"/>
      <c r="X133" s="64"/>
    </row>
    <row r="134" spans="1:24">
      <c r="A134" s="80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64"/>
      <c r="Q134" s="64"/>
      <c r="R134" s="64"/>
      <c r="S134" s="64"/>
      <c r="T134" s="64"/>
      <c r="U134" s="64"/>
      <c r="V134" s="64"/>
      <c r="W134" s="64"/>
      <c r="X134" s="64"/>
    </row>
    <row r="135" spans="1:24">
      <c r="A135" s="80"/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64"/>
      <c r="Q135" s="64"/>
      <c r="R135" s="64"/>
      <c r="S135" s="64"/>
      <c r="T135" s="64"/>
      <c r="U135" s="64"/>
      <c r="V135" s="64"/>
      <c r="W135" s="64"/>
      <c r="X135" s="64"/>
    </row>
    <row r="136" spans="1:24">
      <c r="A136" s="80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64"/>
      <c r="Q136" s="64"/>
      <c r="R136" s="64"/>
      <c r="S136" s="64"/>
      <c r="T136" s="64"/>
      <c r="U136" s="64"/>
      <c r="V136" s="64"/>
      <c r="W136" s="64"/>
      <c r="X136" s="64"/>
    </row>
    <row r="137" spans="1:24">
      <c r="A137" s="80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64"/>
      <c r="Q137" s="64"/>
      <c r="R137" s="64"/>
      <c r="S137" s="64"/>
      <c r="T137" s="64"/>
      <c r="U137" s="64"/>
      <c r="V137" s="64"/>
      <c r="W137" s="64"/>
      <c r="X137" s="64"/>
    </row>
    <row r="138" spans="1:24">
      <c r="A138" s="80"/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64"/>
      <c r="Q138" s="64"/>
      <c r="R138" s="64"/>
      <c r="S138" s="64"/>
      <c r="T138" s="64"/>
      <c r="U138" s="64"/>
      <c r="V138" s="64"/>
      <c r="W138" s="64"/>
      <c r="X138" s="64"/>
    </row>
    <row r="139" spans="1:24">
      <c r="A139" s="80"/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64"/>
      <c r="Q139" s="64"/>
      <c r="R139" s="64"/>
      <c r="S139" s="64"/>
      <c r="T139" s="64"/>
      <c r="U139" s="64"/>
      <c r="V139" s="64"/>
      <c r="W139" s="64"/>
      <c r="X139" s="64"/>
    </row>
    <row r="140" spans="1:24">
      <c r="A140" s="80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64"/>
      <c r="Q140" s="64"/>
      <c r="R140" s="64"/>
      <c r="S140" s="64"/>
      <c r="T140" s="64"/>
      <c r="U140" s="64"/>
      <c r="V140" s="64"/>
      <c r="W140" s="64"/>
      <c r="X140" s="64"/>
    </row>
    <row r="141" spans="1:24">
      <c r="A141" s="80"/>
      <c r="B141" s="74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64"/>
      <c r="Q141" s="64"/>
      <c r="R141" s="64"/>
      <c r="S141" s="64"/>
      <c r="T141" s="64"/>
      <c r="U141" s="64"/>
      <c r="V141" s="64"/>
      <c r="W141" s="64"/>
      <c r="X141" s="64"/>
    </row>
    <row r="142" spans="1:24">
      <c r="A142" s="80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64"/>
      <c r="Q142" s="64"/>
      <c r="R142" s="64"/>
      <c r="S142" s="64"/>
      <c r="T142" s="64"/>
      <c r="U142" s="64"/>
      <c r="V142" s="64"/>
      <c r="W142" s="64"/>
      <c r="X142" s="64"/>
    </row>
    <row r="143" spans="1:24">
      <c r="A143" s="80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64"/>
      <c r="Q143" s="64"/>
      <c r="R143" s="64"/>
      <c r="S143" s="64"/>
      <c r="T143" s="64"/>
      <c r="U143" s="64"/>
      <c r="V143" s="64"/>
      <c r="W143" s="64"/>
      <c r="X143" s="64"/>
    </row>
    <row r="144" spans="1:24">
      <c r="A144" s="81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64"/>
      <c r="Q144" s="64"/>
      <c r="R144" s="64"/>
      <c r="S144" s="64"/>
      <c r="T144" s="64"/>
      <c r="U144" s="64"/>
      <c r="V144" s="64"/>
      <c r="W144" s="64"/>
      <c r="X144" s="64"/>
    </row>
    <row r="145" spans="1:24">
      <c r="A145" s="81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64"/>
      <c r="Q145" s="64"/>
      <c r="R145" s="64"/>
      <c r="S145" s="64"/>
      <c r="T145" s="64"/>
      <c r="U145" s="64"/>
      <c r="V145" s="64"/>
      <c r="W145" s="64"/>
      <c r="X145" s="64"/>
    </row>
    <row r="146" spans="1:24">
      <c r="A146" s="81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>
      <c r="A147" s="80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>
      <c r="A148" s="81"/>
      <c r="B148" s="74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64"/>
      <c r="Q148" s="64"/>
      <c r="R148" s="64"/>
      <c r="S148" s="64"/>
      <c r="T148" s="64"/>
      <c r="U148" s="64"/>
      <c r="V148" s="64"/>
      <c r="W148" s="64"/>
      <c r="X148" s="64"/>
    </row>
    <row r="149" spans="1:24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</row>
    <row r="150" spans="1:24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  <row r="151" spans="1:24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</row>
  </sheetData>
  <mergeCells count="81">
    <mergeCell ref="O108:O109"/>
    <mergeCell ref="A107:O107"/>
    <mergeCell ref="A108:A109"/>
    <mergeCell ref="B108:B109"/>
    <mergeCell ref="J108:J109"/>
    <mergeCell ref="K108:K109"/>
    <mergeCell ref="L108:L109"/>
    <mergeCell ref="M108:M109"/>
    <mergeCell ref="N108:N109"/>
    <mergeCell ref="D108:D109"/>
    <mergeCell ref="E108:E109"/>
    <mergeCell ref="F108:F109"/>
    <mergeCell ref="G108:G109"/>
    <mergeCell ref="H108:H109"/>
    <mergeCell ref="C108:C109"/>
    <mergeCell ref="J82:J83"/>
    <mergeCell ref="I108:I109"/>
    <mergeCell ref="D56:D57"/>
    <mergeCell ref="M56:M57"/>
    <mergeCell ref="N56:N57"/>
    <mergeCell ref="M82:M83"/>
    <mergeCell ref="N82:N83"/>
    <mergeCell ref="F56:F57"/>
    <mergeCell ref="G56:G57"/>
    <mergeCell ref="H56:H57"/>
    <mergeCell ref="I56:I57"/>
    <mergeCell ref="I82:I83"/>
    <mergeCell ref="A30:A31"/>
    <mergeCell ref="B30:B31"/>
    <mergeCell ref="C30:C31"/>
    <mergeCell ref="D30:D31"/>
    <mergeCell ref="E30:E31"/>
    <mergeCell ref="A55:O55"/>
    <mergeCell ref="A56:A57"/>
    <mergeCell ref="B56:B57"/>
    <mergeCell ref="C56:C57"/>
    <mergeCell ref="L56:L57"/>
    <mergeCell ref="E56:E57"/>
    <mergeCell ref="J56:J57"/>
    <mergeCell ref="O56:O57"/>
    <mergeCell ref="A29:O29"/>
    <mergeCell ref="E3:E4"/>
    <mergeCell ref="F3:F4"/>
    <mergeCell ref="I30:I31"/>
    <mergeCell ref="J30:J31"/>
    <mergeCell ref="K30:K31"/>
    <mergeCell ref="L30:L31"/>
    <mergeCell ref="G3:G4"/>
    <mergeCell ref="H3:H4"/>
    <mergeCell ref="I3:I4"/>
    <mergeCell ref="J3:J4"/>
    <mergeCell ref="F30:F31"/>
    <mergeCell ref="K3:K4"/>
    <mergeCell ref="L3:L4"/>
    <mergeCell ref="G30:G31"/>
    <mergeCell ref="H30:H31"/>
    <mergeCell ref="A82:A83"/>
    <mergeCell ref="O82:O83"/>
    <mergeCell ref="G82:G83"/>
    <mergeCell ref="H82:H83"/>
    <mergeCell ref="M30:M31"/>
    <mergeCell ref="K82:K83"/>
    <mergeCell ref="L82:L83"/>
    <mergeCell ref="A81:O81"/>
    <mergeCell ref="B82:B83"/>
    <mergeCell ref="C82:C83"/>
    <mergeCell ref="D82:D83"/>
    <mergeCell ref="E82:E83"/>
    <mergeCell ref="F82:F83"/>
    <mergeCell ref="K56:K57"/>
    <mergeCell ref="N30:N31"/>
    <mergeCell ref="O30:O31"/>
    <mergeCell ref="A1:O1"/>
    <mergeCell ref="A2:O2"/>
    <mergeCell ref="A3:A4"/>
    <mergeCell ref="B3:B4"/>
    <mergeCell ref="C3:C4"/>
    <mergeCell ref="D3:D4"/>
    <mergeCell ref="M3:M4"/>
    <mergeCell ref="N3:N4"/>
    <mergeCell ref="O3:O4"/>
  </mergeCells>
  <phoneticPr fontId="0" type="noConversion"/>
  <printOptions horizontalCentered="1" verticalCentered="1"/>
  <pageMargins left="0.19685039370078741" right="0.31496062992125984" top="0.27559055118110237" bottom="0.23622047244094491" header="0" footer="0"/>
  <pageSetup paperSize="5" scale="80" orientation="landscape" horizontalDpi="4294967295" verticalDpi="300"/>
  <headerFooter alignWithMargins="0"/>
  <rowBreaks count="2" manualBreakCount="2">
    <brk id="44" max="16383" man="1"/>
    <brk id="7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G36"/>
  <sheetViews>
    <sheetView topLeftCell="A13" zoomScale="130" zoomScaleNormal="130" workbookViewId="0">
      <selection activeCell="A2" sqref="A2:G2"/>
    </sheetView>
  </sheetViews>
  <sheetFormatPr baseColWidth="10" defaultColWidth="9" defaultRowHeight="13"/>
  <cols>
    <col min="1" max="1" width="26.33203125" customWidth="1"/>
    <col min="2" max="2" width="12.33203125" customWidth="1"/>
    <col min="3" max="3" width="11" customWidth="1"/>
    <col min="4" max="4" width="12.1640625" customWidth="1"/>
    <col min="5" max="6" width="12.5" customWidth="1"/>
    <col min="7" max="7" width="12.83203125" customWidth="1"/>
    <col min="8" max="256" width="11" customWidth="1"/>
  </cols>
  <sheetData>
    <row r="1" spans="1:7" ht="14" thickBot="1">
      <c r="A1" s="1289">
        <f>'Flujo Efec mensual 5 Años'!A1:O1</f>
        <v>0</v>
      </c>
      <c r="B1" s="1290"/>
      <c r="C1" s="1290"/>
      <c r="D1" s="1290"/>
      <c r="E1" s="1290"/>
      <c r="F1" s="1290"/>
      <c r="G1" s="1291"/>
    </row>
    <row r="2" spans="1:7" ht="14" thickBot="1">
      <c r="A2" s="1282" t="s">
        <v>163</v>
      </c>
      <c r="B2" s="1283"/>
      <c r="C2" s="1283"/>
      <c r="D2" s="1283"/>
      <c r="E2" s="1283"/>
      <c r="F2" s="1283"/>
      <c r="G2" s="1284"/>
    </row>
    <row r="3" spans="1:7" ht="14" thickBot="1">
      <c r="A3" s="19"/>
      <c r="B3" s="49" t="s">
        <v>222</v>
      </c>
      <c r="C3" s="49">
        <v>1</v>
      </c>
      <c r="D3" s="49">
        <v>2</v>
      </c>
      <c r="E3" s="49">
        <v>3</v>
      </c>
      <c r="F3" s="23">
        <v>4</v>
      </c>
      <c r="G3" s="94">
        <v>5</v>
      </c>
    </row>
    <row r="4" spans="1:7" ht="14" thickBot="1">
      <c r="A4" s="91" t="s">
        <v>296</v>
      </c>
      <c r="B4" s="49"/>
      <c r="C4" s="51">
        <v>0.05</v>
      </c>
      <c r="D4" s="51">
        <v>0.05</v>
      </c>
      <c r="E4" s="51">
        <v>0.05</v>
      </c>
      <c r="F4" s="51">
        <v>0.05</v>
      </c>
      <c r="G4" s="95">
        <v>0.05</v>
      </c>
    </row>
    <row r="5" spans="1:7">
      <c r="A5" s="91" t="s">
        <v>152</v>
      </c>
      <c r="B5" s="51"/>
      <c r="C5" s="51">
        <v>0.1</v>
      </c>
      <c r="D5" s="51">
        <v>0.1</v>
      </c>
      <c r="E5" s="51">
        <v>0.1</v>
      </c>
      <c r="F5" s="51">
        <v>0.1</v>
      </c>
      <c r="G5" s="96">
        <v>0.1</v>
      </c>
    </row>
    <row r="6" spans="1:7">
      <c r="A6" s="92" t="s">
        <v>153</v>
      </c>
      <c r="B6" s="51"/>
      <c r="C6" s="51">
        <v>0.1</v>
      </c>
      <c r="D6" s="51">
        <v>0.1</v>
      </c>
      <c r="E6" s="51">
        <v>0.1</v>
      </c>
      <c r="F6" s="51">
        <v>0.1</v>
      </c>
      <c r="G6" s="96">
        <v>0.1</v>
      </c>
    </row>
    <row r="7" spans="1:7">
      <c r="A7" s="92" t="s">
        <v>154</v>
      </c>
      <c r="B7" s="51"/>
      <c r="C7" s="51">
        <v>0.25</v>
      </c>
      <c r="D7" s="51">
        <v>0.25</v>
      </c>
      <c r="E7" s="51">
        <v>0.25</v>
      </c>
      <c r="F7" s="51">
        <v>0.25</v>
      </c>
      <c r="G7" s="95">
        <v>0</v>
      </c>
    </row>
    <row r="8" spans="1:7">
      <c r="A8" s="92" t="s">
        <v>303</v>
      </c>
      <c r="B8" s="51"/>
      <c r="C8" s="51">
        <v>0.3</v>
      </c>
      <c r="D8" s="51">
        <v>0.3</v>
      </c>
      <c r="E8" s="51">
        <v>0.3</v>
      </c>
      <c r="F8" s="51">
        <v>0.1</v>
      </c>
      <c r="G8" s="97">
        <v>0</v>
      </c>
    </row>
    <row r="9" spans="1:7" ht="14" thickBot="1">
      <c r="A9" s="90"/>
      <c r="B9" s="2"/>
      <c r="C9" s="2"/>
      <c r="D9" s="2"/>
      <c r="E9" s="2"/>
      <c r="F9" s="2"/>
      <c r="G9" s="47"/>
    </row>
    <row r="10" spans="1:7" ht="14" thickBot="1">
      <c r="A10" s="11"/>
      <c r="B10" s="1285" t="s">
        <v>164</v>
      </c>
      <c r="C10" s="1285"/>
      <c r="D10" s="1285"/>
      <c r="E10" s="1285"/>
      <c r="F10" s="1285"/>
      <c r="G10" s="1286"/>
    </row>
    <row r="11" spans="1:7" ht="14" thickBot="1">
      <c r="A11" s="20"/>
      <c r="B11" s="23" t="s">
        <v>223</v>
      </c>
      <c r="C11" s="23">
        <v>1</v>
      </c>
      <c r="D11" s="23">
        <v>2</v>
      </c>
      <c r="E11" s="23">
        <v>3</v>
      </c>
      <c r="F11" s="23">
        <v>4</v>
      </c>
      <c r="G11" s="98">
        <v>5</v>
      </c>
    </row>
    <row r="12" spans="1:7" ht="14" thickBot="1">
      <c r="A12" s="91" t="s">
        <v>296</v>
      </c>
      <c r="B12" s="16">
        <f>'Balance Inic'!B10</f>
        <v>6500000</v>
      </c>
      <c r="C12" s="16">
        <f>$B$12*C4</f>
        <v>325000</v>
      </c>
      <c r="D12" s="16">
        <f>$B$12*D4</f>
        <v>325000</v>
      </c>
      <c r="E12" s="16">
        <f>$B$12*E4</f>
        <v>325000</v>
      </c>
      <c r="F12" s="16">
        <f>$B$12*F4</f>
        <v>325000</v>
      </c>
      <c r="G12" s="99">
        <f>$B$12*G4</f>
        <v>325000</v>
      </c>
    </row>
    <row r="13" spans="1:7">
      <c r="A13" s="91" t="s">
        <v>152</v>
      </c>
      <c r="B13" s="16">
        <f>'Balance Inic'!B11</f>
        <v>0</v>
      </c>
      <c r="C13" s="16">
        <f>$B$13*C5</f>
        <v>0</v>
      </c>
      <c r="D13" s="16">
        <f>$B$13*D5</f>
        <v>0</v>
      </c>
      <c r="E13" s="16">
        <f>$B$13*E5</f>
        <v>0</v>
      </c>
      <c r="F13" s="16">
        <f>$B$13*F5</f>
        <v>0</v>
      </c>
      <c r="G13" s="99">
        <f>$B$13*G5</f>
        <v>0</v>
      </c>
    </row>
    <row r="14" spans="1:7">
      <c r="A14" s="92" t="s">
        <v>153</v>
      </c>
      <c r="B14" s="16">
        <f>'Balance Inic'!B12</f>
        <v>23700</v>
      </c>
      <c r="C14" s="16">
        <f>$B$14*C6</f>
        <v>2370</v>
      </c>
      <c r="D14" s="16">
        <f>$B$14*D6</f>
        <v>2370</v>
      </c>
      <c r="E14" s="16">
        <f>$B$14*E6</f>
        <v>2370</v>
      </c>
      <c r="F14" s="16">
        <f>$B$14*F6</f>
        <v>2370</v>
      </c>
      <c r="G14" s="99">
        <f>$B$14*G6</f>
        <v>2370</v>
      </c>
    </row>
    <row r="15" spans="1:7">
      <c r="A15" s="92" t="s">
        <v>154</v>
      </c>
      <c r="B15" s="16">
        <f>'Balance Inic'!B13</f>
        <v>0</v>
      </c>
      <c r="C15" s="16">
        <f>$B$15*C7</f>
        <v>0</v>
      </c>
      <c r="D15" s="16">
        <f>$B$15*D7</f>
        <v>0</v>
      </c>
      <c r="E15" s="16">
        <f>$B$15*E7</f>
        <v>0</v>
      </c>
      <c r="F15" s="16">
        <f>$B$15*F7</f>
        <v>0</v>
      </c>
      <c r="G15" s="99">
        <f>$B$15*G7</f>
        <v>0</v>
      </c>
    </row>
    <row r="16" spans="1:7">
      <c r="A16" s="92" t="s">
        <v>303</v>
      </c>
      <c r="B16" s="16">
        <f>'Balance Inic'!B14</f>
        <v>104000</v>
      </c>
      <c r="C16" s="16">
        <f>$B$16*C8</f>
        <v>31200</v>
      </c>
      <c r="D16" s="16">
        <f>$B$16*D8</f>
        <v>31200</v>
      </c>
      <c r="E16" s="16">
        <f>$B$16*E8</f>
        <v>31200</v>
      </c>
      <c r="F16" s="16">
        <f>$B$16*F8</f>
        <v>10400</v>
      </c>
      <c r="G16" s="99">
        <f>$B$16*G8</f>
        <v>0</v>
      </c>
    </row>
    <row r="17" spans="1:7">
      <c r="A17" s="92"/>
      <c r="B17" s="50">
        <f t="shared" ref="B17:G17" si="0">SUM(B12:B16)</f>
        <v>6627700</v>
      </c>
      <c r="C17" s="50">
        <f t="shared" si="0"/>
        <v>358570</v>
      </c>
      <c r="D17" s="50">
        <f t="shared" si="0"/>
        <v>358570</v>
      </c>
      <c r="E17" s="50">
        <f t="shared" si="0"/>
        <v>358570</v>
      </c>
      <c r="F17" s="50">
        <f t="shared" si="0"/>
        <v>337770</v>
      </c>
      <c r="G17" s="88">
        <f t="shared" si="0"/>
        <v>327370</v>
      </c>
    </row>
    <row r="18" spans="1:7">
      <c r="A18" s="17"/>
      <c r="B18" s="16"/>
      <c r="C18" s="16"/>
      <c r="D18" s="16"/>
      <c r="E18" s="16"/>
      <c r="F18" s="16"/>
      <c r="G18" s="99"/>
    </row>
    <row r="19" spans="1:7" ht="14" thickBot="1">
      <c r="A19" s="20"/>
      <c r="B19" s="1285" t="s">
        <v>165</v>
      </c>
      <c r="C19" s="1285"/>
      <c r="D19" s="1285"/>
      <c r="E19" s="1285"/>
      <c r="F19" s="1285"/>
      <c r="G19" s="1286"/>
    </row>
    <row r="20" spans="1:7" ht="14" thickBot="1">
      <c r="A20" s="18"/>
      <c r="B20" s="23"/>
      <c r="C20" s="23">
        <v>1</v>
      </c>
      <c r="D20" s="23">
        <v>2</v>
      </c>
      <c r="E20" s="23">
        <v>3</v>
      </c>
      <c r="F20" s="23">
        <v>4</v>
      </c>
      <c r="G20" s="94">
        <v>5</v>
      </c>
    </row>
    <row r="21" spans="1:7" ht="14" thickBot="1">
      <c r="A21" s="91" t="s">
        <v>296</v>
      </c>
      <c r="B21" s="16"/>
      <c r="C21" s="16">
        <f t="shared" ref="C21:C26" si="1">C12</f>
        <v>325000</v>
      </c>
      <c r="D21" s="16">
        <f>C12+D12</f>
        <v>650000</v>
      </c>
      <c r="E21" s="16">
        <f>C12+D12+E12</f>
        <v>975000</v>
      </c>
      <c r="F21" s="16">
        <f>C12+D12+E12+F12</f>
        <v>1300000</v>
      </c>
      <c r="G21" s="99">
        <f>C12+D12+E12+F12+G12</f>
        <v>1625000</v>
      </c>
    </row>
    <row r="22" spans="1:7">
      <c r="A22" s="91" t="s">
        <v>152</v>
      </c>
      <c r="B22" s="16"/>
      <c r="C22" s="16">
        <f t="shared" si="1"/>
        <v>0</v>
      </c>
      <c r="D22" s="16">
        <f>C13+D13</f>
        <v>0</v>
      </c>
      <c r="E22" s="16">
        <f>C13+D13+E13</f>
        <v>0</v>
      </c>
      <c r="F22" s="16">
        <f>C13+D13+E13+F13</f>
        <v>0</v>
      </c>
      <c r="G22" s="99">
        <f>C13+D13+E13+F13+G13</f>
        <v>0</v>
      </c>
    </row>
    <row r="23" spans="1:7">
      <c r="A23" s="92" t="s">
        <v>153</v>
      </c>
      <c r="B23" s="16"/>
      <c r="C23" s="16">
        <f t="shared" si="1"/>
        <v>2370</v>
      </c>
      <c r="D23" s="16">
        <f>C14+D14</f>
        <v>4740</v>
      </c>
      <c r="E23" s="16">
        <f>C14+D14+E14</f>
        <v>7110</v>
      </c>
      <c r="F23" s="16">
        <f>C14+D14+E14+F14</f>
        <v>9480</v>
      </c>
      <c r="G23" s="99">
        <f>C14+D14+E14+F14+G14</f>
        <v>11850</v>
      </c>
    </row>
    <row r="24" spans="1:7">
      <c r="A24" s="92" t="s">
        <v>154</v>
      </c>
      <c r="B24" s="16"/>
      <c r="C24" s="16">
        <f t="shared" si="1"/>
        <v>0</v>
      </c>
      <c r="D24" s="16">
        <f>C15+D15</f>
        <v>0</v>
      </c>
      <c r="E24" s="16">
        <f>C15+D15+E15</f>
        <v>0</v>
      </c>
      <c r="F24" s="16">
        <f>C15+D15+E15+F15</f>
        <v>0</v>
      </c>
      <c r="G24" s="99">
        <f>C15+D15+E15+F15+G15</f>
        <v>0</v>
      </c>
    </row>
    <row r="25" spans="1:7">
      <c r="A25" s="92" t="s">
        <v>303</v>
      </c>
      <c r="B25" s="16"/>
      <c r="C25" s="16">
        <f t="shared" si="1"/>
        <v>31200</v>
      </c>
      <c r="D25" s="16">
        <f>C16+D16</f>
        <v>62400</v>
      </c>
      <c r="E25" s="16">
        <f>C16+D16+E16</f>
        <v>93600</v>
      </c>
      <c r="F25" s="16">
        <f>C16+D16+E16+F16</f>
        <v>104000</v>
      </c>
      <c r="G25" s="99">
        <f>C16+D16+E16+F16+G16</f>
        <v>104000</v>
      </c>
    </row>
    <row r="26" spans="1:7">
      <c r="A26" s="56" t="s">
        <v>35</v>
      </c>
      <c r="B26" s="50"/>
      <c r="C26" s="50">
        <f t="shared" si="1"/>
        <v>358570</v>
      </c>
      <c r="D26" s="50">
        <f>SUM(D21:D25)</f>
        <v>717140</v>
      </c>
      <c r="E26" s="50">
        <f>SUM(E21:E25)</f>
        <v>1075710</v>
      </c>
      <c r="F26" s="50">
        <f>SUM(F21:F25)</f>
        <v>1413480</v>
      </c>
      <c r="G26" s="88">
        <f>SUM(G21:G25)</f>
        <v>1740850</v>
      </c>
    </row>
    <row r="27" spans="1:7" ht="14" thickBot="1">
      <c r="A27" s="17"/>
      <c r="B27" s="16"/>
      <c r="C27" s="16"/>
      <c r="D27" s="15"/>
      <c r="E27" s="15"/>
      <c r="F27" s="15"/>
      <c r="G27" s="100"/>
    </row>
    <row r="28" spans="1:7" ht="14" thickBot="1">
      <c r="A28" s="21"/>
      <c r="B28" s="1287" t="s">
        <v>166</v>
      </c>
      <c r="C28" s="1287"/>
      <c r="D28" s="1287"/>
      <c r="E28" s="1287"/>
      <c r="F28" s="1287"/>
      <c r="G28" s="1288"/>
    </row>
    <row r="29" spans="1:7" ht="14" thickBot="1">
      <c r="A29" s="18"/>
      <c r="B29" s="22"/>
      <c r="C29" s="23">
        <v>1</v>
      </c>
      <c r="D29" s="23">
        <v>2</v>
      </c>
      <c r="E29" s="23">
        <v>3</v>
      </c>
      <c r="F29" s="23">
        <v>4</v>
      </c>
      <c r="G29" s="94">
        <v>5</v>
      </c>
    </row>
    <row r="30" spans="1:7" ht="14" thickBot="1">
      <c r="A30" s="91" t="s">
        <v>296</v>
      </c>
      <c r="B30" s="22"/>
      <c r="C30" s="16">
        <f>$B$12-C21</f>
        <v>6175000</v>
      </c>
      <c r="D30" s="16">
        <f>$B$12-D21</f>
        <v>5850000</v>
      </c>
      <c r="E30" s="16">
        <f>$B$12-E21</f>
        <v>5525000</v>
      </c>
      <c r="F30" s="16">
        <f>$B$12-F21</f>
        <v>5200000</v>
      </c>
      <c r="G30" s="99">
        <f>$B$12-G21</f>
        <v>4875000</v>
      </c>
    </row>
    <row r="31" spans="1:7">
      <c r="A31" s="91" t="s">
        <v>152</v>
      </c>
      <c r="B31" s="22"/>
      <c r="C31" s="16">
        <f>$B$13-C22</f>
        <v>0</v>
      </c>
      <c r="D31" s="16">
        <f>$B$13-D22</f>
        <v>0</v>
      </c>
      <c r="E31" s="16">
        <f>$B$13-E22</f>
        <v>0</v>
      </c>
      <c r="F31" s="16">
        <f>$B$13-F22</f>
        <v>0</v>
      </c>
      <c r="G31" s="99">
        <f>$B$13-G22</f>
        <v>0</v>
      </c>
    </row>
    <row r="32" spans="1:7">
      <c r="A32" s="92" t="s">
        <v>153</v>
      </c>
      <c r="B32" s="22"/>
      <c r="C32" s="16">
        <f>$B$14-C23</f>
        <v>21330</v>
      </c>
      <c r="D32" s="16">
        <f>$B$14-D23</f>
        <v>18960</v>
      </c>
      <c r="E32" s="16">
        <f>$B$14-E23</f>
        <v>16590</v>
      </c>
      <c r="F32" s="16">
        <f>$B$14-F23</f>
        <v>14220</v>
      </c>
      <c r="G32" s="99">
        <f>$B$14-G23</f>
        <v>11850</v>
      </c>
    </row>
    <row r="33" spans="1:7">
      <c r="A33" s="92" t="s">
        <v>154</v>
      </c>
      <c r="B33" s="22"/>
      <c r="C33" s="16">
        <f>$B$15-C24</f>
        <v>0</v>
      </c>
      <c r="D33" s="16">
        <f>$B$15-D24</f>
        <v>0</v>
      </c>
      <c r="E33" s="16">
        <f>$B$15-E24</f>
        <v>0</v>
      </c>
      <c r="F33" s="16">
        <f>$B$15-F24</f>
        <v>0</v>
      </c>
      <c r="G33" s="99">
        <f>$B$15-G24</f>
        <v>0</v>
      </c>
    </row>
    <row r="34" spans="1:7" ht="14" thickBot="1">
      <c r="A34" s="92" t="s">
        <v>303</v>
      </c>
      <c r="B34" s="22"/>
      <c r="C34" s="52">
        <f>$B$16-C25</f>
        <v>72800</v>
      </c>
      <c r="D34" s="52">
        <f>$B$16-D25</f>
        <v>41600</v>
      </c>
      <c r="E34" s="52">
        <f>$B$16-E25</f>
        <v>10400</v>
      </c>
      <c r="F34" s="52">
        <f>$B$16-F25</f>
        <v>0</v>
      </c>
      <c r="G34" s="89">
        <f>$B$16-G25</f>
        <v>0</v>
      </c>
    </row>
    <row r="35" spans="1:7" ht="14" thickBot="1">
      <c r="A35" s="57" t="s">
        <v>224</v>
      </c>
      <c r="B35" s="53"/>
      <c r="C35" s="53"/>
      <c r="D35" s="53">
        <f>SUM(D30:D34)</f>
        <v>5910560</v>
      </c>
      <c r="E35" s="53">
        <f>SUM(E30:E34)</f>
        <v>5551990</v>
      </c>
      <c r="F35" s="53">
        <f>SUM(F30:F34)</f>
        <v>5214220</v>
      </c>
      <c r="G35" s="54">
        <f>SUM(G30:G34)</f>
        <v>4886850</v>
      </c>
    </row>
    <row r="36" spans="1:7" ht="14" thickBot="1">
      <c r="A36" s="58" t="s">
        <v>225</v>
      </c>
      <c r="B36" s="55"/>
      <c r="C36" s="55"/>
      <c r="D36" s="55"/>
      <c r="E36" s="55"/>
      <c r="F36" s="55"/>
      <c r="G36" s="59">
        <f>G35</f>
        <v>4886850</v>
      </c>
    </row>
  </sheetData>
  <mergeCells count="5">
    <mergeCell ref="A2:G2"/>
    <mergeCell ref="B10:G10"/>
    <mergeCell ref="B19:G19"/>
    <mergeCell ref="B28:G28"/>
    <mergeCell ref="A1:G1"/>
  </mergeCells>
  <phoneticPr fontId="0" type="noConversion"/>
  <pageMargins left="0.75" right="0.75" top="1" bottom="1" header="0" footer="0"/>
  <pageSetup paperSize="9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8"/>
  <dimension ref="A1:M37"/>
  <sheetViews>
    <sheetView zoomScale="70" zoomScaleNormal="70" zoomScaleSheetLayoutView="100" workbookViewId="0">
      <selection activeCell="A4" sqref="A4:F18"/>
    </sheetView>
  </sheetViews>
  <sheetFormatPr baseColWidth="10" defaultColWidth="11" defaultRowHeight="13"/>
  <cols>
    <col min="1" max="1" width="24.1640625" style="187" customWidth="1"/>
    <col min="2" max="2" width="18.1640625" style="187" customWidth="1"/>
    <col min="3" max="3" width="17.5" style="187" customWidth="1"/>
    <col min="4" max="4" width="18" style="187" customWidth="1"/>
    <col min="5" max="5" width="18.5" style="187" customWidth="1"/>
    <col min="6" max="6" width="17.1640625" style="187" customWidth="1"/>
    <col min="7" max="7" width="13.1640625" style="187" customWidth="1"/>
    <col min="8" max="8" width="21.1640625" style="187" customWidth="1"/>
    <col min="9" max="9" width="10.83203125" style="187" customWidth="1"/>
    <col min="10" max="10" width="10.6640625" style="187" customWidth="1"/>
    <col min="11" max="11" width="9.33203125" style="187" customWidth="1"/>
    <col min="12" max="12" width="9.5" style="187" customWidth="1"/>
    <col min="13" max="13" width="10.5" style="187" customWidth="1"/>
    <col min="14" max="16384" width="11" style="187"/>
  </cols>
  <sheetData>
    <row r="1" spans="1:13" ht="23.25" customHeight="1">
      <c r="A1" s="1303"/>
      <c r="B1" s="1303"/>
      <c r="C1" s="1303"/>
      <c r="D1" s="1303"/>
      <c r="E1" s="1303"/>
      <c r="F1" s="1303"/>
      <c r="G1" s="589"/>
      <c r="H1" s="589"/>
      <c r="I1" s="589"/>
      <c r="M1" s="590" t="s">
        <v>361</v>
      </c>
    </row>
    <row r="2" spans="1:13" ht="17.75" customHeight="1" thickBot="1">
      <c r="A2" s="1301">
        <f>INVERSION!A6</f>
        <v>0</v>
      </c>
      <c r="B2" s="1302"/>
      <c r="C2" s="1302"/>
      <c r="D2" s="1302"/>
      <c r="E2" s="1302"/>
      <c r="F2" s="1302"/>
      <c r="G2" s="591"/>
      <c r="H2" s="591"/>
      <c r="I2" s="591"/>
      <c r="J2" s="592"/>
      <c r="K2" s="592"/>
      <c r="L2" s="593"/>
      <c r="M2" s="593"/>
    </row>
    <row r="3" spans="1:13" ht="19" thickBot="1">
      <c r="A3" s="1304"/>
      <c r="B3" s="1304"/>
      <c r="C3" s="1304"/>
      <c r="D3" s="1304"/>
      <c r="E3" s="1304"/>
      <c r="F3" s="1305"/>
      <c r="G3" s="594"/>
      <c r="H3" s="976"/>
      <c r="I3" s="977" t="s">
        <v>408</v>
      </c>
      <c r="J3" s="595"/>
      <c r="K3" s="595"/>
      <c r="L3" s="595"/>
      <c r="M3" s="596"/>
    </row>
    <row r="4" spans="1:13" ht="28">
      <c r="A4" s="1306" t="s">
        <v>264</v>
      </c>
      <c r="B4" s="1307"/>
      <c r="C4" s="1307"/>
      <c r="D4" s="1307"/>
      <c r="E4" s="1307"/>
      <c r="F4" s="597"/>
      <c r="G4" s="598" t="s">
        <v>458</v>
      </c>
      <c r="H4" s="599"/>
      <c r="I4" s="1294" t="s">
        <v>322</v>
      </c>
      <c r="J4" s="1295"/>
      <c r="K4" s="1295"/>
      <c r="L4" s="1295"/>
      <c r="M4" s="1296"/>
    </row>
    <row r="5" spans="1:13">
      <c r="A5" s="1292" t="s">
        <v>1</v>
      </c>
      <c r="B5" s="1297" t="s">
        <v>118</v>
      </c>
      <c r="C5" s="1297" t="s">
        <v>142</v>
      </c>
      <c r="D5" s="1297" t="s">
        <v>143</v>
      </c>
      <c r="E5" s="1297" t="s">
        <v>144</v>
      </c>
      <c r="F5" s="1299" t="s">
        <v>145</v>
      </c>
      <c r="G5" s="645"/>
      <c r="H5" s="1292" t="s">
        <v>1</v>
      </c>
      <c r="I5" s="1292" t="s">
        <v>118</v>
      </c>
      <c r="J5" s="1297" t="s">
        <v>142</v>
      </c>
      <c r="K5" s="1297" t="s">
        <v>143</v>
      </c>
      <c r="L5" s="1297" t="s">
        <v>144</v>
      </c>
      <c r="M5" s="1299" t="s">
        <v>145</v>
      </c>
    </row>
    <row r="6" spans="1:13">
      <c r="A6" s="1293"/>
      <c r="B6" s="1298">
        <v>1</v>
      </c>
      <c r="C6" s="1298">
        <v>2</v>
      </c>
      <c r="D6" s="1298">
        <v>3</v>
      </c>
      <c r="E6" s="1298">
        <v>4</v>
      </c>
      <c r="F6" s="1300">
        <v>4</v>
      </c>
      <c r="G6" s="646"/>
      <c r="H6" s="1293"/>
      <c r="I6" s="1293">
        <v>1</v>
      </c>
      <c r="J6" s="1298">
        <v>2</v>
      </c>
      <c r="K6" s="1298">
        <v>3</v>
      </c>
      <c r="L6" s="1298">
        <v>4</v>
      </c>
      <c r="M6" s="1300">
        <v>4</v>
      </c>
    </row>
    <row r="7" spans="1:13" ht="14">
      <c r="A7" s="600" t="s">
        <v>226</v>
      </c>
      <c r="B7" s="601">
        <f>'Flujo Efec mensual 5 Años'!O8</f>
        <v>1155000</v>
      </c>
      <c r="C7" s="601">
        <f>'Flujo Efec mensual 5 Años'!O35</f>
        <v>1346730.0000000002</v>
      </c>
      <c r="D7" s="601">
        <f>'Flujo Efec mensual 5 Años'!O61</f>
        <v>1713040.5600000005</v>
      </c>
      <c r="E7" s="601">
        <f>'Flujo Efec mensual 5 Años'!O87</f>
        <v>2543865.2316000015</v>
      </c>
      <c r="F7" s="602">
        <f>'Flujo Efec mensual 5 Años'!O114</f>
        <v>3949350.7720590024</v>
      </c>
      <c r="G7" s="603"/>
      <c r="H7" s="604" t="str">
        <f>A7</f>
        <v>Ingresos</v>
      </c>
      <c r="I7" s="605">
        <f>B7/$B$7</f>
        <v>1</v>
      </c>
      <c r="J7" s="606">
        <f>C7/$C$7</f>
        <v>1</v>
      </c>
      <c r="K7" s="606">
        <f>D7/$D$7</f>
        <v>1</v>
      </c>
      <c r="L7" s="606">
        <f>E7/$E$7</f>
        <v>1</v>
      </c>
      <c r="M7" s="607">
        <f>F7/$F$7</f>
        <v>1</v>
      </c>
    </row>
    <row r="8" spans="1:13" ht="14">
      <c r="A8" s="600" t="s">
        <v>2</v>
      </c>
      <c r="B8" s="601" t="e">
        <f>'Flujo Efec mensual 5 Años'!O14</f>
        <v>#REF!</v>
      </c>
      <c r="C8" s="601" t="e">
        <f>'Flujo Efec mensual 5 Años'!O40</f>
        <v>#REF!</v>
      </c>
      <c r="D8" s="601" t="e">
        <f>'Flujo Efec mensual 5 Años'!O66</f>
        <v>#REF!</v>
      </c>
      <c r="E8" s="601" t="e">
        <f>'Flujo Efec mensual 5 Años'!O92</f>
        <v>#REF!</v>
      </c>
      <c r="F8" s="602" t="e">
        <f>'Flujo Efec mensual 5 Años'!O118</f>
        <v>#REF!</v>
      </c>
      <c r="G8" s="603"/>
      <c r="H8" s="604" t="str">
        <f t="shared" ref="H8:H18" si="0">A8</f>
        <v>Costo de venta</v>
      </c>
      <c r="I8" s="605" t="e">
        <f>B8/$B$7</f>
        <v>#REF!</v>
      </c>
      <c r="J8" s="606" t="e">
        <f t="shared" ref="J8:J18" si="1">C8/$C$7</f>
        <v>#REF!</v>
      </c>
      <c r="K8" s="606" t="e">
        <f t="shared" ref="K8:K18" si="2">D8/$D$7</f>
        <v>#REF!</v>
      </c>
      <c r="L8" s="606" t="e">
        <f t="shared" ref="L8:L18" si="3">E8/$E$7</f>
        <v>#REF!</v>
      </c>
      <c r="M8" s="607" t="e">
        <f t="shared" ref="M8:M18" si="4">F8/$F$7</f>
        <v>#REF!</v>
      </c>
    </row>
    <row r="9" spans="1:13" ht="14">
      <c r="A9" s="647" t="s">
        <v>3</v>
      </c>
      <c r="B9" s="648" t="e">
        <f>B7-B8</f>
        <v>#REF!</v>
      </c>
      <c r="C9" s="649" t="e">
        <f>C7-C8</f>
        <v>#REF!</v>
      </c>
      <c r="D9" s="649" t="e">
        <f>D7-D8</f>
        <v>#REF!</v>
      </c>
      <c r="E9" s="649" t="e">
        <f>E7-E8</f>
        <v>#REF!</v>
      </c>
      <c r="F9" s="650" t="e">
        <f>F7-F8</f>
        <v>#REF!</v>
      </c>
      <c r="G9" s="608"/>
      <c r="H9" s="647" t="str">
        <f t="shared" si="0"/>
        <v>Utilidad Bruta</v>
      </c>
      <c r="I9" s="652" t="e">
        <f>B9/$B$7</f>
        <v>#REF!</v>
      </c>
      <c r="J9" s="653" t="e">
        <f t="shared" si="1"/>
        <v>#REF!</v>
      </c>
      <c r="K9" s="653" t="e">
        <f t="shared" si="2"/>
        <v>#REF!</v>
      </c>
      <c r="L9" s="653" t="e">
        <f t="shared" si="3"/>
        <v>#REF!</v>
      </c>
      <c r="M9" s="654" t="e">
        <f t="shared" si="4"/>
        <v>#REF!</v>
      </c>
    </row>
    <row r="10" spans="1:13">
      <c r="A10" s="600"/>
      <c r="B10" s="601"/>
      <c r="C10" s="601"/>
      <c r="D10" s="601"/>
      <c r="E10" s="601"/>
      <c r="F10" s="602"/>
      <c r="G10" s="603"/>
      <c r="H10" s="604"/>
      <c r="I10" s="605"/>
      <c r="J10" s="606"/>
      <c r="K10" s="606"/>
      <c r="L10" s="606"/>
      <c r="M10" s="607"/>
    </row>
    <row r="11" spans="1:13" ht="14">
      <c r="A11" s="600" t="s">
        <v>270</v>
      </c>
      <c r="B11" s="601">
        <f>'Flujo Efec mensual 5 Años'!O15</f>
        <v>1236512.5508173518</v>
      </c>
      <c r="C11" s="601">
        <f>'Flujo Efec mensual 5 Años'!O41</f>
        <v>1441773.634253032</v>
      </c>
      <c r="D11" s="601">
        <f>'Flujo Efec mensual 5 Años'!O67</f>
        <v>1833936.0627698572</v>
      </c>
      <c r="E11" s="601">
        <f>'Flujo Efec mensual 5 Años'!O93</f>
        <v>2723395.0532132396</v>
      </c>
      <c r="F11" s="602">
        <f>'Flujo Efec mensual 5 Años'!O119</f>
        <v>4228070.8201135546</v>
      </c>
      <c r="G11" s="603"/>
      <c r="H11" s="604" t="str">
        <f t="shared" si="0"/>
        <v>Gastos Generales Admon.</v>
      </c>
      <c r="I11" s="605">
        <f>B11/$B$7</f>
        <v>1.0705736370713002</v>
      </c>
      <c r="J11" s="606">
        <f t="shared" si="1"/>
        <v>1.0705736370712999</v>
      </c>
      <c r="K11" s="606">
        <f t="shared" si="2"/>
        <v>1.0705736370713002</v>
      </c>
      <c r="L11" s="606">
        <f t="shared" si="3"/>
        <v>1.0705736370713004</v>
      </c>
      <c r="M11" s="607">
        <f t="shared" si="4"/>
        <v>1.0705736370713004</v>
      </c>
    </row>
    <row r="12" spans="1:13" ht="14">
      <c r="A12" s="415" t="s">
        <v>304</v>
      </c>
      <c r="B12" s="601">
        <f>' Deprec. 5 años'!C17</f>
        <v>358570</v>
      </c>
      <c r="C12" s="601">
        <f>' Deprec. 5 años'!D17</f>
        <v>358570</v>
      </c>
      <c r="D12" s="601">
        <f>' Deprec. 5 años'!E17</f>
        <v>358570</v>
      </c>
      <c r="E12" s="601">
        <f>' Deprec. 5 años'!F17</f>
        <v>337770</v>
      </c>
      <c r="F12" s="602">
        <f>' Deprec. 5 años'!G17</f>
        <v>327370</v>
      </c>
      <c r="G12" s="603"/>
      <c r="H12" s="604" t="str">
        <f t="shared" si="0"/>
        <v>Depreciación</v>
      </c>
      <c r="I12" s="605">
        <f>B12/$B$7</f>
        <v>0.31045021645021648</v>
      </c>
      <c r="J12" s="606">
        <f t="shared" si="1"/>
        <v>0.26625232971716672</v>
      </c>
      <c r="K12" s="606">
        <f t="shared" si="2"/>
        <v>0.20931786927450211</v>
      </c>
      <c r="L12" s="606">
        <f t="shared" si="3"/>
        <v>0.13277826034343596</v>
      </c>
      <c r="M12" s="607">
        <f t="shared" si="4"/>
        <v>8.289210528375654E-2</v>
      </c>
    </row>
    <row r="13" spans="1:13" ht="14">
      <c r="A13" s="415" t="s">
        <v>17</v>
      </c>
      <c r="B13" s="601">
        <f>'Pago Financiamto'!J25</f>
        <v>0</v>
      </c>
      <c r="C13" s="601">
        <f>'Pago Financiamto'!J37</f>
        <v>0</v>
      </c>
      <c r="D13" s="601">
        <f>'Pago Financiamto'!J49</f>
        <v>0</v>
      </c>
      <c r="E13" s="601">
        <f>'Flujo Efec mensual 5 Años'!O98</f>
        <v>0</v>
      </c>
      <c r="F13" s="602">
        <f>'Flujo Efec mensual 5 Años'!O124</f>
        <v>0</v>
      </c>
      <c r="G13" s="603"/>
      <c r="H13" s="604" t="str">
        <f t="shared" si="0"/>
        <v>Intereses</v>
      </c>
      <c r="I13" s="605"/>
      <c r="J13" s="606"/>
      <c r="K13" s="606"/>
      <c r="L13" s="606"/>
      <c r="M13" s="607"/>
    </row>
    <row r="14" spans="1:13" ht="14">
      <c r="A14" s="647" t="s">
        <v>4</v>
      </c>
      <c r="B14" s="648" t="e">
        <f>B9-SUM(B11:B13)</f>
        <v>#REF!</v>
      </c>
      <c r="C14" s="648" t="e">
        <f>C9-SUM(C11:C13)</f>
        <v>#REF!</v>
      </c>
      <c r="D14" s="648" t="e">
        <f>D9-SUM(D11:D13)</f>
        <v>#REF!</v>
      </c>
      <c r="E14" s="648" t="e">
        <f>E9-SUM(E11:E13)</f>
        <v>#REF!</v>
      </c>
      <c r="F14" s="651" t="e">
        <f>F9-SUM(F11:F13)</f>
        <v>#REF!</v>
      </c>
      <c r="G14" s="609"/>
      <c r="H14" s="647" t="str">
        <f t="shared" si="0"/>
        <v>Utilidad de operación</v>
      </c>
      <c r="I14" s="652" t="e">
        <f>B14/$B$7</f>
        <v>#REF!</v>
      </c>
      <c r="J14" s="653" t="e">
        <f t="shared" si="1"/>
        <v>#REF!</v>
      </c>
      <c r="K14" s="653" t="e">
        <f t="shared" si="2"/>
        <v>#REF!</v>
      </c>
      <c r="L14" s="653" t="e">
        <f t="shared" si="3"/>
        <v>#REF!</v>
      </c>
      <c r="M14" s="654" t="e">
        <f t="shared" si="4"/>
        <v>#REF!</v>
      </c>
    </row>
    <row r="15" spans="1:13">
      <c r="A15" s="610"/>
      <c r="B15" s="601"/>
      <c r="C15" s="611"/>
      <c r="D15" s="611"/>
      <c r="E15" s="611"/>
      <c r="F15" s="612"/>
      <c r="G15" s="613"/>
      <c r="H15" s="604"/>
      <c r="I15" s="605"/>
      <c r="J15" s="606"/>
      <c r="K15" s="606"/>
      <c r="L15" s="606"/>
      <c r="M15" s="607"/>
    </row>
    <row r="16" spans="1:13" ht="14">
      <c r="A16" s="600" t="s">
        <v>146</v>
      </c>
      <c r="B16" s="601" t="e">
        <f>B14*0.3</f>
        <v>#REF!</v>
      </c>
      <c r="C16" s="601" t="e">
        <f>C14*0.3</f>
        <v>#REF!</v>
      </c>
      <c r="D16" s="601" t="e">
        <f>D14*0.3</f>
        <v>#REF!</v>
      </c>
      <c r="E16" s="601" t="e">
        <f>E14*0.3</f>
        <v>#REF!</v>
      </c>
      <c r="F16" s="602" t="e">
        <f>F14*0.3</f>
        <v>#REF!</v>
      </c>
      <c r="G16" s="603"/>
      <c r="H16" s="604" t="str">
        <f t="shared" si="0"/>
        <v xml:space="preserve">ISR </v>
      </c>
      <c r="I16" s="605" t="e">
        <f>B16/$B$7</f>
        <v>#REF!</v>
      </c>
      <c r="J16" s="606" t="e">
        <f t="shared" si="1"/>
        <v>#REF!</v>
      </c>
      <c r="K16" s="606" t="e">
        <f t="shared" si="2"/>
        <v>#REF!</v>
      </c>
      <c r="L16" s="606" t="e">
        <f t="shared" si="3"/>
        <v>#REF!</v>
      </c>
      <c r="M16" s="607" t="e">
        <f t="shared" si="4"/>
        <v>#REF!</v>
      </c>
    </row>
    <row r="17" spans="1:13" ht="15" thickBot="1">
      <c r="A17" s="614" t="s">
        <v>5</v>
      </c>
      <c r="B17" s="615"/>
      <c r="C17" s="615" t="e">
        <f>C14*0.1</f>
        <v>#REF!</v>
      </c>
      <c r="D17" s="615" t="e">
        <f>D14*0.1</f>
        <v>#REF!</v>
      </c>
      <c r="E17" s="615" t="e">
        <f>E14*0.1</f>
        <v>#REF!</v>
      </c>
      <c r="F17" s="616" t="e">
        <f>F14*0.1</f>
        <v>#REF!</v>
      </c>
      <c r="G17" s="617"/>
      <c r="H17" s="604" t="str">
        <f t="shared" si="0"/>
        <v>PTU (10%)</v>
      </c>
      <c r="I17" s="605">
        <f>B17/$B$7</f>
        <v>0</v>
      </c>
      <c r="J17" s="606" t="e">
        <f t="shared" si="1"/>
        <v>#REF!</v>
      </c>
      <c r="K17" s="606" t="e">
        <f t="shared" si="2"/>
        <v>#REF!</v>
      </c>
      <c r="L17" s="606" t="e">
        <f t="shared" si="3"/>
        <v>#REF!</v>
      </c>
      <c r="M17" s="607" t="e">
        <f t="shared" si="4"/>
        <v>#REF!</v>
      </c>
    </row>
    <row r="18" spans="1:13" ht="23.25" customHeight="1" thickBot="1">
      <c r="A18" s="618" t="s">
        <v>6</v>
      </c>
      <c r="B18" s="619" t="e">
        <f>B14-SUM(B16:B17)</f>
        <v>#REF!</v>
      </c>
      <c r="C18" s="620" t="e">
        <f>C14-SUM(C16:C17)</f>
        <v>#REF!</v>
      </c>
      <c r="D18" s="620" t="e">
        <f>D14-SUM(D16:D17)</f>
        <v>#REF!</v>
      </c>
      <c r="E18" s="620" t="e">
        <f>E14-SUM(E16:E17)</f>
        <v>#REF!</v>
      </c>
      <c r="F18" s="621" t="e">
        <f>F14-SUM(F16:F17)</f>
        <v>#REF!</v>
      </c>
      <c r="G18" s="622"/>
      <c r="H18" s="623" t="str">
        <f t="shared" si="0"/>
        <v>Utilidad Neta</v>
      </c>
      <c r="I18" s="624" t="e">
        <f>B18/$B$7</f>
        <v>#REF!</v>
      </c>
      <c r="J18" s="625" t="e">
        <f t="shared" si="1"/>
        <v>#REF!</v>
      </c>
      <c r="K18" s="625" t="e">
        <f t="shared" si="2"/>
        <v>#REF!</v>
      </c>
      <c r="L18" s="625" t="e">
        <f t="shared" si="3"/>
        <v>#REF!</v>
      </c>
      <c r="M18" s="626" t="e">
        <f t="shared" si="4"/>
        <v>#REF!</v>
      </c>
    </row>
    <row r="19" spans="1:13">
      <c r="A19" s="627"/>
      <c r="B19" s="438"/>
      <c r="C19" s="628"/>
      <c r="D19" s="438"/>
      <c r="E19" s="629"/>
      <c r="F19" s="438"/>
      <c r="G19" s="630"/>
      <c r="H19" s="630"/>
      <c r="I19" s="631"/>
      <c r="J19" s="630"/>
      <c r="K19" s="632"/>
      <c r="L19" s="538"/>
      <c r="M19" s="538"/>
    </row>
    <row r="20" spans="1:13">
      <c r="A20" s="633"/>
      <c r="B20" s="628"/>
      <c r="C20" s="629"/>
      <c r="D20" s="628"/>
      <c r="E20" s="629"/>
      <c r="F20" s="628"/>
      <c r="G20" s="628"/>
      <c r="H20" s="628"/>
      <c r="I20" s="606"/>
      <c r="J20" s="628"/>
      <c r="K20" s="629"/>
      <c r="L20" s="353"/>
      <c r="M20" s="353"/>
    </row>
    <row r="21" spans="1:13" ht="19">
      <c r="A21" s="634" t="s">
        <v>453</v>
      </c>
      <c r="B21" s="643" t="str">
        <f>B5</f>
        <v>AÑO 1</v>
      </c>
      <c r="C21" s="643" t="str">
        <f>C5</f>
        <v>AÑO 2</v>
      </c>
      <c r="D21" s="643" t="str">
        <f>D5</f>
        <v>AÑO 3</v>
      </c>
      <c r="E21" s="643" t="str">
        <f>E5</f>
        <v>AÑO 4</v>
      </c>
      <c r="F21" s="643" t="str">
        <f>F5</f>
        <v>AÑO 5</v>
      </c>
      <c r="G21" s="628"/>
      <c r="H21" s="628"/>
      <c r="I21" s="606"/>
      <c r="J21" s="628"/>
      <c r="K21" s="629"/>
      <c r="L21" s="353"/>
      <c r="M21" s="353"/>
    </row>
    <row r="22" spans="1:13" ht="14">
      <c r="A22" s="627" t="str">
        <f>INVERSION!A70</f>
        <v>Itzel Anaid Ortega Llanderal</v>
      </c>
      <c r="B22" s="635" t="e">
        <f>B18*INVERSION!$C$70</f>
        <v>#REF!</v>
      </c>
      <c r="C22" s="635" t="e">
        <f>C18*INVERSION!$C$70</f>
        <v>#REF!</v>
      </c>
      <c r="D22" s="635" t="e">
        <f>D18*INVERSION!$C$70</f>
        <v>#REF!</v>
      </c>
      <c r="E22" s="635" t="e">
        <f>E18*INVERSION!$C$70</f>
        <v>#REF!</v>
      </c>
      <c r="F22" s="635" t="e">
        <f>F18*INVERSION!$C$70</f>
        <v>#REF!</v>
      </c>
      <c r="G22" s="636">
        <f>INVERSION!C70</f>
        <v>0.5</v>
      </c>
      <c r="H22" s="635"/>
      <c r="I22" s="637"/>
      <c r="J22" s="353"/>
      <c r="K22" s="353"/>
      <c r="L22" s="353"/>
      <c r="M22" s="353"/>
    </row>
    <row r="23" spans="1:13" ht="14">
      <c r="A23" s="627" t="str">
        <f>INVERSION!A71</f>
        <v>Juan Pedro Llantada Lopez</v>
      </c>
      <c r="B23" s="637" t="e">
        <f>B18*INVERSION!$C$71</f>
        <v>#REF!</v>
      </c>
      <c r="C23" s="637" t="e">
        <f>C18*INVERSION!$C$71</f>
        <v>#REF!</v>
      </c>
      <c r="D23" s="637" t="e">
        <f>D18*INVERSION!$C$71</f>
        <v>#REF!</v>
      </c>
      <c r="E23" s="637" t="e">
        <f>E18*INVERSION!$C$71</f>
        <v>#REF!</v>
      </c>
      <c r="F23" s="637" t="e">
        <f>F18*INVERSION!$C$71</f>
        <v>#REF!</v>
      </c>
      <c r="G23" s="636">
        <f>INVERSION!C71</f>
        <v>0.5</v>
      </c>
      <c r="H23" s="638"/>
      <c r="I23" s="638"/>
    </row>
    <row r="24" spans="1:13" ht="14">
      <c r="A24" s="627" t="str">
        <f>INVERSION!A72</f>
        <v>SOCIO 3</v>
      </c>
      <c r="B24" s="637" t="e">
        <f>B18*INVERSION!$C$72</f>
        <v>#REF!</v>
      </c>
      <c r="C24" s="637" t="e">
        <f>C18*INVERSION!$C$72</f>
        <v>#REF!</v>
      </c>
      <c r="D24" s="637" t="e">
        <f>D18*INVERSION!$C$72</f>
        <v>#REF!</v>
      </c>
      <c r="E24" s="637" t="e">
        <f>E18*INVERSION!$C$72</f>
        <v>#REF!</v>
      </c>
      <c r="F24" s="637" t="e">
        <f>F18*INVERSION!$C$72</f>
        <v>#REF!</v>
      </c>
      <c r="G24" s="636">
        <f>INVERSION!C72</f>
        <v>0</v>
      </c>
    </row>
    <row r="25" spans="1:13" ht="14">
      <c r="A25" s="627" t="str">
        <f>INVERSION!A73</f>
        <v>SOCIO 4</v>
      </c>
      <c r="B25" s="637" t="e">
        <f>B18*INVERSION!$C$73</f>
        <v>#REF!</v>
      </c>
      <c r="C25" s="637" t="e">
        <f>C18*INVERSION!$C$73</f>
        <v>#REF!</v>
      </c>
      <c r="D25" s="637" t="e">
        <f>D18*INVERSION!$C$73</f>
        <v>#REF!</v>
      </c>
      <c r="E25" s="637" t="e">
        <f>E18*INVERSION!$C$73</f>
        <v>#REF!</v>
      </c>
      <c r="F25" s="637" t="e">
        <f>F18*INVERSION!$C$73</f>
        <v>#REF!</v>
      </c>
      <c r="G25" s="636">
        <f>INVERSION!C73</f>
        <v>0</v>
      </c>
      <c r="I25" s="639"/>
      <c r="J25" s="639"/>
      <c r="K25" s="639"/>
      <c r="L25" s="639"/>
      <c r="M25" s="639"/>
    </row>
    <row r="26" spans="1:13">
      <c r="A26" s="627">
        <f>INVERSION!A74</f>
        <v>0</v>
      </c>
      <c r="B26" s="637" t="e">
        <f>B18*INVERSION!$C$74</f>
        <v>#REF!</v>
      </c>
      <c r="C26" s="637" t="e">
        <f>C18*INVERSION!$C$74</f>
        <v>#REF!</v>
      </c>
      <c r="D26" s="637" t="e">
        <f>D18*INVERSION!$C$74</f>
        <v>#REF!</v>
      </c>
      <c r="E26" s="637" t="e">
        <f>E18*INVERSION!$C$74</f>
        <v>#REF!</v>
      </c>
      <c r="F26" s="637" t="e">
        <f>F18*INVERSION!$C$74</f>
        <v>#REF!</v>
      </c>
      <c r="G26" s="636">
        <f>INVERSION!C74</f>
        <v>0</v>
      </c>
    </row>
    <row r="28" spans="1:13" ht="57">
      <c r="A28" s="634" t="s">
        <v>488</v>
      </c>
      <c r="B28" s="644" t="str">
        <f>B21</f>
        <v>AÑO 1</v>
      </c>
      <c r="C28" s="644" t="str">
        <f>C21</f>
        <v>AÑO 2</v>
      </c>
      <c r="D28" s="644" t="str">
        <f>D21</f>
        <v>AÑO 3</v>
      </c>
      <c r="E28" s="644" t="str">
        <f>E21</f>
        <v>AÑO 4</v>
      </c>
      <c r="F28" s="644" t="str">
        <f>F21</f>
        <v>AÑO 5</v>
      </c>
    </row>
    <row r="29" spans="1:13" ht="28">
      <c r="A29" s="627" t="s">
        <v>454</v>
      </c>
      <c r="B29" s="640" t="e">
        <f>B22/INVERSION!$D$70</f>
        <v>#REF!</v>
      </c>
      <c r="C29" s="640" t="e">
        <f>C22/INVERSION!$D$70</f>
        <v>#REF!</v>
      </c>
      <c r="D29" s="640" t="e">
        <f>D22/INVERSION!$D$70</f>
        <v>#REF!</v>
      </c>
      <c r="E29" s="640" t="e">
        <f>E22/INVERSION!$D$70</f>
        <v>#REF!</v>
      </c>
      <c r="F29" s="640" t="e">
        <f>F22/INVERSION!$D$70</f>
        <v>#REF!</v>
      </c>
    </row>
    <row r="30" spans="1:13">
      <c r="A30" s="627"/>
      <c r="B30" s="640"/>
      <c r="C30" s="640"/>
      <c r="D30" s="640"/>
      <c r="E30" s="640"/>
      <c r="F30" s="640"/>
    </row>
    <row r="31" spans="1:13">
      <c r="A31" s="627"/>
      <c r="B31" s="641"/>
      <c r="C31" s="641"/>
      <c r="D31" s="641"/>
      <c r="E31" s="641"/>
      <c r="F31" s="641"/>
    </row>
    <row r="36" spans="1:12">
      <c r="B36" s="642"/>
      <c r="C36" s="642"/>
      <c r="D36" s="642"/>
      <c r="E36" s="642"/>
      <c r="F36" s="642"/>
      <c r="G36" s="642"/>
      <c r="H36" s="642"/>
      <c r="I36" s="642"/>
      <c r="J36" s="642"/>
      <c r="K36" s="642"/>
      <c r="L36" s="242"/>
    </row>
    <row r="37" spans="1:12">
      <c r="A37" s="242"/>
      <c r="B37" s="642"/>
      <c r="C37" s="642"/>
      <c r="D37" s="642"/>
      <c r="E37" s="642"/>
      <c r="F37" s="642"/>
      <c r="G37" s="642"/>
      <c r="H37" s="642"/>
      <c r="I37" s="642"/>
      <c r="J37" s="642"/>
      <c r="K37" s="642"/>
      <c r="L37" s="242"/>
    </row>
  </sheetData>
  <mergeCells count="17">
    <mergeCell ref="A2:F2"/>
    <mergeCell ref="A5:A6"/>
    <mergeCell ref="A1:F1"/>
    <mergeCell ref="A3:F3"/>
    <mergeCell ref="A4:E4"/>
    <mergeCell ref="B5:B6"/>
    <mergeCell ref="C5:C6"/>
    <mergeCell ref="D5:D6"/>
    <mergeCell ref="E5:E6"/>
    <mergeCell ref="F5:F6"/>
    <mergeCell ref="H5:H6"/>
    <mergeCell ref="I4:M4"/>
    <mergeCell ref="I5:I6"/>
    <mergeCell ref="J5:J6"/>
    <mergeCell ref="K5:K6"/>
    <mergeCell ref="L5:L6"/>
    <mergeCell ref="M5:M6"/>
  </mergeCells>
  <phoneticPr fontId="0" type="noConversion"/>
  <printOptions horizontalCentered="1" verticalCentered="1"/>
  <pageMargins left="0.9055118110236221" right="0.59055118110236227" top="0.39370078740157483" bottom="2.4015748031496065" header="0.39370078740157483" footer="0"/>
  <pageSetup scale="71" orientation="portrait" horizontalDpi="429496729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9"/>
  <dimension ref="A1:O77"/>
  <sheetViews>
    <sheetView zoomScale="80" zoomScaleNormal="80" workbookViewId="0">
      <selection activeCell="A3" sqref="A3:G41"/>
    </sheetView>
  </sheetViews>
  <sheetFormatPr baseColWidth="10" defaultColWidth="11" defaultRowHeight="13"/>
  <cols>
    <col min="1" max="1" width="8.83203125" style="187" customWidth="1"/>
    <col min="2" max="2" width="27.1640625" style="187" customWidth="1"/>
    <col min="3" max="6" width="15.83203125" style="187" customWidth="1"/>
    <col min="7" max="7" width="20.33203125" style="187" customWidth="1"/>
    <col min="8" max="8" width="15.83203125" style="187" customWidth="1"/>
    <col min="9" max="9" width="18.1640625" style="187" customWidth="1"/>
    <col min="10" max="10" width="22.1640625" style="187" customWidth="1"/>
    <col min="11" max="16384" width="11" style="187"/>
  </cols>
  <sheetData>
    <row r="1" spans="1:15" ht="19" thickBot="1">
      <c r="A1" s="1308" t="s">
        <v>147</v>
      </c>
      <c r="B1" s="1308"/>
      <c r="C1" s="1308"/>
      <c r="D1" s="1308"/>
      <c r="E1" s="1308"/>
      <c r="F1" s="1308"/>
      <c r="G1" s="1308"/>
      <c r="H1" s="449"/>
    </row>
    <row r="2" spans="1:15" ht="19" thickBot="1">
      <c r="A2" s="961"/>
      <c r="B2" s="1309">
        <f>INVERSION!A6</f>
        <v>0</v>
      </c>
      <c r="C2" s="1309"/>
      <c r="D2" s="1309"/>
      <c r="E2" s="1309"/>
      <c r="F2" s="1309"/>
      <c r="G2" s="1309"/>
      <c r="H2" s="978" t="s">
        <v>361</v>
      </c>
      <c r="I2" s="1318" t="s">
        <v>227</v>
      </c>
      <c r="J2" s="1319"/>
      <c r="K2" s="1319"/>
      <c r="L2" s="1319"/>
      <c r="M2" s="1319"/>
      <c r="N2" s="1319"/>
      <c r="O2" s="1320"/>
    </row>
    <row r="3" spans="1:15" ht="19" thickBot="1">
      <c r="A3" s="1234" t="s">
        <v>23</v>
      </c>
      <c r="B3" s="1235"/>
      <c r="C3" s="979" t="s">
        <v>118</v>
      </c>
      <c r="D3" s="980" t="s">
        <v>142</v>
      </c>
      <c r="E3" s="980" t="s">
        <v>143</v>
      </c>
      <c r="F3" s="980" t="s">
        <v>144</v>
      </c>
      <c r="G3" s="981" t="s">
        <v>145</v>
      </c>
      <c r="H3" s="449"/>
      <c r="I3" s="1234" t="s">
        <v>23</v>
      </c>
      <c r="J3" s="1236"/>
      <c r="K3" s="979" t="s">
        <v>118</v>
      </c>
      <c r="L3" s="980" t="s">
        <v>142</v>
      </c>
      <c r="M3" s="980" t="s">
        <v>143</v>
      </c>
      <c r="N3" s="980" t="s">
        <v>144</v>
      </c>
      <c r="O3" s="981" t="s">
        <v>145</v>
      </c>
    </row>
    <row r="4" spans="1:15" ht="14.25" customHeight="1" thickBot="1">
      <c r="A4" s="1315" t="s">
        <v>82</v>
      </c>
      <c r="B4" s="1316"/>
      <c r="C4" s="982"/>
      <c r="D4" s="983"/>
      <c r="E4" s="397"/>
      <c r="F4" s="397"/>
      <c r="G4" s="413"/>
      <c r="H4" s="789"/>
      <c r="I4" s="1315" t="s">
        <v>82</v>
      </c>
      <c r="J4" s="1316"/>
      <c r="K4" s="984"/>
      <c r="L4" s="985"/>
      <c r="M4" s="986"/>
      <c r="N4" s="987"/>
      <c r="O4" s="988"/>
    </row>
    <row r="5" spans="1:15">
      <c r="A5" s="989" t="s">
        <v>83</v>
      </c>
      <c r="B5" s="789"/>
      <c r="C5" s="982"/>
      <c r="D5" s="983"/>
      <c r="E5" s="983"/>
      <c r="F5" s="983"/>
      <c r="G5" s="990"/>
      <c r="H5" s="983"/>
      <c r="I5" s="989" t="s">
        <v>83</v>
      </c>
      <c r="J5" s="789"/>
      <c r="K5" s="300"/>
      <c r="L5" s="397"/>
      <c r="M5" s="397"/>
      <c r="N5" s="397"/>
      <c r="O5" s="413"/>
    </row>
    <row r="6" spans="1:15">
      <c r="A6" s="300"/>
      <c r="B6" s="397" t="s">
        <v>148</v>
      </c>
      <c r="C6" s="513" t="e">
        <f>'Flujo Efec mensual 5 Años'!O26</f>
        <v>#REF!</v>
      </c>
      <c r="D6" s="513" t="e">
        <f>'Flujo Efec mensual 5 Años'!O52</f>
        <v>#REF!</v>
      </c>
      <c r="E6" s="513" t="e">
        <f>'Flujo Efec mensual 5 Años'!O78</f>
        <v>#REF!</v>
      </c>
      <c r="F6" s="929" t="e">
        <f>'Flujo Efec mensual 5 Años'!O104</f>
        <v>#REF!</v>
      </c>
      <c r="G6" s="991" t="e">
        <f>'Flujo Efec mensual 5 Años'!O130</f>
        <v>#REF!</v>
      </c>
      <c r="H6" s="983"/>
      <c r="I6" s="300"/>
      <c r="J6" s="397" t="s">
        <v>148</v>
      </c>
      <c r="K6" s="992" t="e">
        <f>C6/$C$28</f>
        <v>#REF!</v>
      </c>
      <c r="L6" s="992" t="e">
        <f>D6/$D$28</f>
        <v>#REF!</v>
      </c>
      <c r="M6" s="992" t="e">
        <f>E6/$E$28</f>
        <v>#REF!</v>
      </c>
      <c r="N6" s="992" t="e">
        <f>F6/$F$28</f>
        <v>#REF!</v>
      </c>
      <c r="O6" s="992" t="e">
        <f>G6/$G$28</f>
        <v>#REF!</v>
      </c>
    </row>
    <row r="7" spans="1:15">
      <c r="A7" s="300"/>
      <c r="B7" s="397" t="s">
        <v>149</v>
      </c>
      <c r="C7" s="601" t="e">
        <f>'Inventario año 1'!$O$10</f>
        <v>#REF!</v>
      </c>
      <c r="D7" s="601" t="e">
        <f>'Inventario año 1'!$O$10</f>
        <v>#REF!</v>
      </c>
      <c r="E7" s="601" t="e">
        <f>'Inventario año 1'!$O$10</f>
        <v>#REF!</v>
      </c>
      <c r="F7" s="601" t="e">
        <f>'Inventario año 1'!$O$10</f>
        <v>#REF!</v>
      </c>
      <c r="G7" s="602" t="e">
        <f>'Inventario año 1'!$O$10</f>
        <v>#REF!</v>
      </c>
      <c r="H7" s="993"/>
      <c r="I7" s="300"/>
      <c r="J7" s="397" t="s">
        <v>149</v>
      </c>
      <c r="K7" s="992" t="e">
        <f>C7/$C$28</f>
        <v>#REF!</v>
      </c>
      <c r="L7" s="992" t="e">
        <f>D7/$D$28</f>
        <v>#REF!</v>
      </c>
      <c r="M7" s="992" t="e">
        <f>E7/$E$28</f>
        <v>#REF!</v>
      </c>
      <c r="N7" s="992" t="e">
        <f>F7/$F$28</f>
        <v>#REF!</v>
      </c>
      <c r="O7" s="992" t="e">
        <f>G7/$G$28</f>
        <v>#REF!</v>
      </c>
    </row>
    <row r="8" spans="1:15" ht="14" thickBot="1">
      <c r="A8" s="300"/>
      <c r="B8" s="397" t="s">
        <v>150</v>
      </c>
      <c r="C8" s="994">
        <f>'Inventario año 1'!$O$23</f>
        <v>0</v>
      </c>
      <c r="D8" s="994">
        <f>'Inventario año 1'!$O$23</f>
        <v>0</v>
      </c>
      <c r="E8" s="994">
        <f>'Inventario año 1'!$O$23</f>
        <v>0</v>
      </c>
      <c r="F8" s="994">
        <f>'Inventario año 1'!$O$23</f>
        <v>0</v>
      </c>
      <c r="G8" s="994">
        <f>'Inventario año 1'!$O$23</f>
        <v>0</v>
      </c>
      <c r="H8" s="995"/>
      <c r="I8" s="300"/>
      <c r="J8" s="397" t="s">
        <v>150</v>
      </c>
      <c r="K8" s="992" t="e">
        <f>C8/$C$28</f>
        <v>#REF!</v>
      </c>
      <c r="L8" s="992" t="e">
        <f>D8/$D$28</f>
        <v>#REF!</v>
      </c>
      <c r="M8" s="992" t="e">
        <f>E8/$E$28</f>
        <v>#REF!</v>
      </c>
      <c r="N8" s="992" t="e">
        <f>F8/$F$28</f>
        <v>#REF!</v>
      </c>
      <c r="O8" s="992" t="e">
        <f>G8/$G$28</f>
        <v>#REF!</v>
      </c>
    </row>
    <row r="9" spans="1:15" ht="14" thickBot="1">
      <c r="A9" s="298"/>
      <c r="B9" s="996" t="s">
        <v>85</v>
      </c>
      <c r="C9" s="997" t="e">
        <f>SUM(C6:C8)</f>
        <v>#REF!</v>
      </c>
      <c r="D9" s="997" t="e">
        <f>SUM(D6:D8)</f>
        <v>#REF!</v>
      </c>
      <c r="E9" s="997" t="e">
        <f>SUM(E6:E8)</f>
        <v>#REF!</v>
      </c>
      <c r="F9" s="997" t="e">
        <f>SUM(F6:F8)</f>
        <v>#REF!</v>
      </c>
      <c r="G9" s="997" t="e">
        <f>SUM(G6:G8)</f>
        <v>#REF!</v>
      </c>
      <c r="H9" s="998"/>
      <c r="I9" s="298"/>
      <c r="J9" s="996" t="s">
        <v>85</v>
      </c>
      <c r="K9" s="999" t="e">
        <f>C9/$C$28</f>
        <v>#REF!</v>
      </c>
      <c r="L9" s="999" t="e">
        <f>D9/$D$28</f>
        <v>#REF!</v>
      </c>
      <c r="M9" s="999" t="e">
        <f>E9/$E$28</f>
        <v>#REF!</v>
      </c>
      <c r="N9" s="999" t="e">
        <f>F9/$F$28</f>
        <v>#REF!</v>
      </c>
      <c r="O9" s="999" t="e">
        <f>G9/$G$28</f>
        <v>#REF!</v>
      </c>
    </row>
    <row r="10" spans="1:15">
      <c r="A10" s="204" t="s">
        <v>151</v>
      </c>
      <c r="B10" s="397"/>
      <c r="C10" s="1000"/>
      <c r="D10" s="1000"/>
      <c r="E10" s="353"/>
      <c r="F10" s="353"/>
      <c r="G10" s="367"/>
      <c r="H10" s="397"/>
      <c r="I10" s="204" t="s">
        <v>151</v>
      </c>
      <c r="J10" s="397"/>
      <c r="K10" s="992"/>
      <c r="L10" s="992"/>
      <c r="M10" s="992"/>
      <c r="N10" s="992"/>
      <c r="O10" s="992"/>
    </row>
    <row r="11" spans="1:15">
      <c r="A11" s="204"/>
      <c r="B11" s="397" t="s">
        <v>296</v>
      </c>
      <c r="C11" s="1001">
        <f>'Balance Inic'!B10</f>
        <v>6500000</v>
      </c>
      <c r="D11" s="1000">
        <f>C11</f>
        <v>6500000</v>
      </c>
      <c r="E11" s="1000">
        <f>D11</f>
        <v>6500000</v>
      </c>
      <c r="F11" s="1000">
        <f>E11</f>
        <v>6500000</v>
      </c>
      <c r="G11" s="1002">
        <f>F11</f>
        <v>6500000</v>
      </c>
      <c r="H11" s="995"/>
      <c r="I11" s="204"/>
      <c r="J11" s="397" t="s">
        <v>296</v>
      </c>
      <c r="K11" s="992" t="e">
        <f t="shared" ref="K11:K21" si="0">C11/$C$28</f>
        <v>#REF!</v>
      </c>
      <c r="L11" s="992" t="e">
        <f t="shared" ref="L11:L21" si="1">D11/$D$28</f>
        <v>#REF!</v>
      </c>
      <c r="M11" s="992" t="e">
        <f t="shared" ref="M11:M21" si="2">E11/$E$28</f>
        <v>#REF!</v>
      </c>
      <c r="N11" s="992" t="e">
        <f t="shared" ref="N11:N21" si="3">F11/$F$28</f>
        <v>#REF!</v>
      </c>
      <c r="O11" s="992" t="e">
        <f t="shared" ref="O11:O21" si="4">G11/$G$28</f>
        <v>#REF!</v>
      </c>
    </row>
    <row r="12" spans="1:15">
      <c r="A12" s="204"/>
      <c r="B12" s="195" t="s">
        <v>297</v>
      </c>
      <c r="C12" s="1001">
        <f>'Balance Inic'!B11</f>
        <v>0</v>
      </c>
      <c r="D12" s="1000">
        <f t="shared" ref="D12:G15" si="5">C12</f>
        <v>0</v>
      </c>
      <c r="E12" s="1000">
        <f t="shared" si="5"/>
        <v>0</v>
      </c>
      <c r="F12" s="1000">
        <f t="shared" si="5"/>
        <v>0</v>
      </c>
      <c r="G12" s="1002">
        <f t="shared" si="5"/>
        <v>0</v>
      </c>
      <c r="H12" s="995"/>
      <c r="I12" s="204"/>
      <c r="J12" s="195" t="s">
        <v>297</v>
      </c>
      <c r="K12" s="992" t="e">
        <f t="shared" si="0"/>
        <v>#REF!</v>
      </c>
      <c r="L12" s="992" t="e">
        <f t="shared" si="1"/>
        <v>#REF!</v>
      </c>
      <c r="M12" s="992" t="e">
        <f t="shared" si="2"/>
        <v>#REF!</v>
      </c>
      <c r="N12" s="992" t="e">
        <f t="shared" si="3"/>
        <v>#REF!</v>
      </c>
      <c r="O12" s="992" t="e">
        <f t="shared" si="4"/>
        <v>#REF!</v>
      </c>
    </row>
    <row r="13" spans="1:15">
      <c r="A13" s="204"/>
      <c r="B13" s="195" t="s">
        <v>300</v>
      </c>
      <c r="C13" s="1001">
        <f>'Balance Inic'!B12</f>
        <v>23700</v>
      </c>
      <c r="D13" s="1000">
        <f t="shared" si="5"/>
        <v>23700</v>
      </c>
      <c r="E13" s="1000">
        <f t="shared" si="5"/>
        <v>23700</v>
      </c>
      <c r="F13" s="1000">
        <f t="shared" si="5"/>
        <v>23700</v>
      </c>
      <c r="G13" s="1002">
        <f t="shared" si="5"/>
        <v>23700</v>
      </c>
      <c r="H13" s="995"/>
      <c r="I13" s="204"/>
      <c r="J13" s="195" t="s">
        <v>300</v>
      </c>
      <c r="K13" s="992" t="e">
        <f t="shared" si="0"/>
        <v>#REF!</v>
      </c>
      <c r="L13" s="992" t="e">
        <f t="shared" si="1"/>
        <v>#REF!</v>
      </c>
      <c r="M13" s="992" t="e">
        <f t="shared" si="2"/>
        <v>#REF!</v>
      </c>
      <c r="N13" s="992" t="e">
        <f t="shared" si="3"/>
        <v>#REF!</v>
      </c>
      <c r="O13" s="992" t="e">
        <f t="shared" si="4"/>
        <v>#REF!</v>
      </c>
    </row>
    <row r="14" spans="1:15">
      <c r="A14" s="204"/>
      <c r="B14" s="1003" t="s">
        <v>298</v>
      </c>
      <c r="C14" s="1001">
        <f>'Balance Inic'!B13</f>
        <v>0</v>
      </c>
      <c r="D14" s="1000">
        <f t="shared" si="5"/>
        <v>0</v>
      </c>
      <c r="E14" s="1000">
        <f t="shared" si="5"/>
        <v>0</v>
      </c>
      <c r="F14" s="1000">
        <f t="shared" si="5"/>
        <v>0</v>
      </c>
      <c r="G14" s="1002">
        <f t="shared" si="5"/>
        <v>0</v>
      </c>
      <c r="H14" s="995"/>
      <c r="I14" s="204"/>
      <c r="J14" s="1003" t="s">
        <v>298</v>
      </c>
      <c r="K14" s="992" t="e">
        <f t="shared" si="0"/>
        <v>#REF!</v>
      </c>
      <c r="L14" s="992" t="e">
        <f t="shared" si="1"/>
        <v>#REF!</v>
      </c>
      <c r="M14" s="992" t="e">
        <f t="shared" si="2"/>
        <v>#REF!</v>
      </c>
      <c r="N14" s="992" t="e">
        <f t="shared" si="3"/>
        <v>#REF!</v>
      </c>
      <c r="O14" s="992" t="e">
        <f t="shared" si="4"/>
        <v>#REF!</v>
      </c>
    </row>
    <row r="15" spans="1:15" ht="14" thickBot="1">
      <c r="A15" s="300"/>
      <c r="B15" s="1003" t="s">
        <v>299</v>
      </c>
      <c r="C15" s="1004">
        <f>'Balance Inic'!B14</f>
        <v>104000</v>
      </c>
      <c r="D15" s="615">
        <f t="shared" si="5"/>
        <v>104000</v>
      </c>
      <c r="E15" s="615">
        <f t="shared" si="5"/>
        <v>104000</v>
      </c>
      <c r="F15" s="615">
        <f t="shared" si="5"/>
        <v>104000</v>
      </c>
      <c r="G15" s="616">
        <f t="shared" si="5"/>
        <v>104000</v>
      </c>
      <c r="H15" s="995"/>
      <c r="I15" s="300"/>
      <c r="J15" s="1003" t="s">
        <v>299</v>
      </c>
      <c r="K15" s="992" t="e">
        <f t="shared" si="0"/>
        <v>#REF!</v>
      </c>
      <c r="L15" s="992" t="e">
        <f t="shared" si="1"/>
        <v>#REF!</v>
      </c>
      <c r="M15" s="992" t="e">
        <f t="shared" si="2"/>
        <v>#REF!</v>
      </c>
      <c r="N15" s="992" t="e">
        <f t="shared" si="3"/>
        <v>#REF!</v>
      </c>
      <c r="O15" s="992" t="e">
        <f t="shared" si="4"/>
        <v>#REF!</v>
      </c>
    </row>
    <row r="16" spans="1:15">
      <c r="A16" s="300"/>
      <c r="B16" s="1005" t="s">
        <v>155</v>
      </c>
      <c r="C16" s="1006">
        <f>SUM(C11:C15)</f>
        <v>6627700</v>
      </c>
      <c r="D16" s="1006">
        <f>SUM(D11:D15)</f>
        <v>6627700</v>
      </c>
      <c r="E16" s="1006">
        <f>SUM(E11:E15)</f>
        <v>6627700</v>
      </c>
      <c r="F16" s="1006">
        <f>SUM(F11:F15)</f>
        <v>6627700</v>
      </c>
      <c r="G16" s="1006">
        <f>SUM(G11:G15)</f>
        <v>6627700</v>
      </c>
      <c r="H16" s="995"/>
      <c r="I16" s="300"/>
      <c r="J16" s="1007" t="s">
        <v>155</v>
      </c>
      <c r="K16" s="992" t="e">
        <f t="shared" si="0"/>
        <v>#REF!</v>
      </c>
      <c r="L16" s="992" t="e">
        <f t="shared" si="1"/>
        <v>#REF!</v>
      </c>
      <c r="M16" s="992" t="e">
        <f t="shared" si="2"/>
        <v>#REF!</v>
      </c>
      <c r="N16" s="992" t="e">
        <f t="shared" si="3"/>
        <v>#REF!</v>
      </c>
      <c r="O16" s="992" t="e">
        <f t="shared" si="4"/>
        <v>#REF!</v>
      </c>
    </row>
    <row r="17" spans="1:15">
      <c r="A17" s="300"/>
      <c r="B17" s="397" t="s">
        <v>305</v>
      </c>
      <c r="C17" s="1000">
        <f>' Deprec. 5 años'!C26</f>
        <v>358570</v>
      </c>
      <c r="D17" s="1000">
        <f>' Deprec. 5 años'!D26</f>
        <v>717140</v>
      </c>
      <c r="E17" s="1000">
        <f>' Deprec. 5 años'!E26</f>
        <v>1075710</v>
      </c>
      <c r="F17" s="1000">
        <f>' Deprec. 5 años'!F26</f>
        <v>1413480</v>
      </c>
      <c r="G17" s="1002">
        <f>' Deprec. 5 años'!G26</f>
        <v>1740850</v>
      </c>
      <c r="H17" s="995"/>
      <c r="I17" s="300"/>
      <c r="J17" s="397" t="s">
        <v>305</v>
      </c>
      <c r="K17" s="992" t="e">
        <f t="shared" si="0"/>
        <v>#REF!</v>
      </c>
      <c r="L17" s="992" t="e">
        <f t="shared" si="1"/>
        <v>#REF!</v>
      </c>
      <c r="M17" s="992" t="e">
        <f t="shared" si="2"/>
        <v>#REF!</v>
      </c>
      <c r="N17" s="992" t="e">
        <f t="shared" si="3"/>
        <v>#REF!</v>
      </c>
      <c r="O17" s="992" t="e">
        <f t="shared" si="4"/>
        <v>#REF!</v>
      </c>
    </row>
    <row r="18" spans="1:15" ht="14" thickBot="1">
      <c r="A18" s="300"/>
      <c r="B18" s="1007" t="s">
        <v>156</v>
      </c>
      <c r="C18" s="616">
        <f>SUM(C17:C17)</f>
        <v>358570</v>
      </c>
      <c r="D18" s="1008">
        <f>SUM(D17:D17)</f>
        <v>717140</v>
      </c>
      <c r="E18" s="1008">
        <f>SUM(E17:E17)</f>
        <v>1075710</v>
      </c>
      <c r="F18" s="1008">
        <f>SUM(F17:F17)</f>
        <v>1413480</v>
      </c>
      <c r="G18" s="1008">
        <f>SUM(G17:G17)</f>
        <v>1740850</v>
      </c>
      <c r="H18" s="995"/>
      <c r="I18" s="300"/>
      <c r="J18" s="1007" t="s">
        <v>156</v>
      </c>
      <c r="K18" s="992" t="e">
        <f t="shared" si="0"/>
        <v>#REF!</v>
      </c>
      <c r="L18" s="992" t="e">
        <f t="shared" si="1"/>
        <v>#REF!</v>
      </c>
      <c r="M18" s="992" t="e">
        <f t="shared" si="2"/>
        <v>#REF!</v>
      </c>
      <c r="N18" s="992" t="e">
        <f t="shared" si="3"/>
        <v>#REF!</v>
      </c>
      <c r="O18" s="992" t="e">
        <f t="shared" si="4"/>
        <v>#REF!</v>
      </c>
    </row>
    <row r="19" spans="1:15">
      <c r="A19" s="298"/>
      <c r="B19" s="996" t="s">
        <v>87</v>
      </c>
      <c r="C19" s="1009">
        <f>C16-C18</f>
        <v>6269130</v>
      </c>
      <c r="D19" s="1010">
        <f>D16-D18</f>
        <v>5910560</v>
      </c>
      <c r="E19" s="1011">
        <f>E16-E18</f>
        <v>5551990</v>
      </c>
      <c r="F19" s="1011">
        <f>F16-F18</f>
        <v>5214220</v>
      </c>
      <c r="G19" s="1011">
        <f>G16-G18</f>
        <v>4886850</v>
      </c>
      <c r="H19" s="998"/>
      <c r="I19" s="204"/>
      <c r="J19" s="996" t="s">
        <v>87</v>
      </c>
      <c r="K19" s="999" t="e">
        <f t="shared" si="0"/>
        <v>#REF!</v>
      </c>
      <c r="L19" s="999" t="e">
        <f t="shared" si="1"/>
        <v>#REF!</v>
      </c>
      <c r="M19" s="999" t="e">
        <f t="shared" si="2"/>
        <v>#REF!</v>
      </c>
      <c r="N19" s="999" t="e">
        <f t="shared" si="3"/>
        <v>#REF!</v>
      </c>
      <c r="O19" s="999" t="e">
        <f t="shared" si="4"/>
        <v>#REF!</v>
      </c>
    </row>
    <row r="20" spans="1:15">
      <c r="A20" s="204" t="s">
        <v>339</v>
      </c>
      <c r="B20" s="1012"/>
      <c r="C20" s="1013"/>
      <c r="D20" s="1014"/>
      <c r="E20" s="1014"/>
      <c r="F20" s="1014"/>
      <c r="G20" s="1015"/>
      <c r="H20" s="998"/>
      <c r="I20" s="204" t="s">
        <v>339</v>
      </c>
      <c r="J20" s="1012"/>
      <c r="K20" s="992" t="e">
        <f t="shared" si="0"/>
        <v>#REF!</v>
      </c>
      <c r="L20" s="992" t="e">
        <f t="shared" si="1"/>
        <v>#REF!</v>
      </c>
      <c r="M20" s="992" t="e">
        <f t="shared" si="2"/>
        <v>#REF!</v>
      </c>
      <c r="N20" s="992" t="e">
        <f t="shared" si="3"/>
        <v>#REF!</v>
      </c>
      <c r="O20" s="992" t="e">
        <f t="shared" si="4"/>
        <v>#REF!</v>
      </c>
    </row>
    <row r="21" spans="1:15">
      <c r="A21" s="298"/>
      <c r="B21" s="1016" t="str">
        <f>INVERSION!A51</f>
        <v>IMPI</v>
      </c>
      <c r="C21" s="601">
        <f>INVERSION!C51</f>
        <v>3194</v>
      </c>
      <c r="D21" s="601">
        <f t="shared" ref="D21:G26" si="6">C21</f>
        <v>3194</v>
      </c>
      <c r="E21" s="601">
        <f t="shared" si="6"/>
        <v>3194</v>
      </c>
      <c r="F21" s="601">
        <f t="shared" si="6"/>
        <v>3194</v>
      </c>
      <c r="G21" s="602">
        <f t="shared" si="6"/>
        <v>3194</v>
      </c>
      <c r="H21" s="995"/>
      <c r="I21" s="298"/>
      <c r="J21" s="1016" t="s">
        <v>294</v>
      </c>
      <c r="K21" s="992" t="e">
        <f t="shared" si="0"/>
        <v>#REF!</v>
      </c>
      <c r="L21" s="992" t="e">
        <f t="shared" si="1"/>
        <v>#REF!</v>
      </c>
      <c r="M21" s="992" t="e">
        <f t="shared" si="2"/>
        <v>#REF!</v>
      </c>
      <c r="N21" s="992" t="e">
        <f t="shared" si="3"/>
        <v>#REF!</v>
      </c>
      <c r="O21" s="992" t="e">
        <f t="shared" si="4"/>
        <v>#REF!</v>
      </c>
    </row>
    <row r="22" spans="1:15">
      <c r="A22" s="298"/>
      <c r="B22" s="1016" t="str">
        <f>INVERSION!A52</f>
        <v>Acta constitutiva</v>
      </c>
      <c r="C22" s="601">
        <f>INVERSION!C52</f>
        <v>8000</v>
      </c>
      <c r="D22" s="601">
        <f t="shared" si="6"/>
        <v>8000</v>
      </c>
      <c r="E22" s="601">
        <f t="shared" si="6"/>
        <v>8000</v>
      </c>
      <c r="F22" s="601">
        <f t="shared" si="6"/>
        <v>8000</v>
      </c>
      <c r="G22" s="602">
        <f t="shared" si="6"/>
        <v>8000</v>
      </c>
      <c r="H22" s="995"/>
      <c r="I22" s="298"/>
      <c r="J22" s="1016"/>
      <c r="K22" s="992"/>
      <c r="L22" s="992"/>
      <c r="M22" s="992"/>
      <c r="N22" s="992"/>
      <c r="O22" s="992"/>
    </row>
    <row r="23" spans="1:15">
      <c r="A23" s="298"/>
      <c r="B23" s="1016" t="str">
        <f>INVERSION!A53</f>
        <v>Membresia de Play Store</v>
      </c>
      <c r="C23" s="601">
        <f>INVERSION!C53</f>
        <v>1000</v>
      </c>
      <c r="D23" s="601">
        <f t="shared" si="6"/>
        <v>1000</v>
      </c>
      <c r="E23" s="601">
        <f t="shared" si="6"/>
        <v>1000</v>
      </c>
      <c r="F23" s="601">
        <f t="shared" si="6"/>
        <v>1000</v>
      </c>
      <c r="G23" s="602">
        <f t="shared" si="6"/>
        <v>1000</v>
      </c>
      <c r="H23" s="995"/>
      <c r="I23" s="298"/>
      <c r="J23" s="1016"/>
      <c r="K23" s="992"/>
      <c r="L23" s="992"/>
      <c r="M23" s="992"/>
      <c r="N23" s="992"/>
      <c r="O23" s="992"/>
    </row>
    <row r="24" spans="1:15">
      <c r="A24" s="298"/>
      <c r="B24" s="1016" t="str">
        <f>INVERSION!A54</f>
        <v>Credenciales App Store</v>
      </c>
      <c r="C24" s="601">
        <f>INVERSION!C54</f>
        <v>2000</v>
      </c>
      <c r="D24" s="601">
        <f t="shared" si="6"/>
        <v>2000</v>
      </c>
      <c r="E24" s="601">
        <f t="shared" si="6"/>
        <v>2000</v>
      </c>
      <c r="F24" s="601">
        <f t="shared" si="6"/>
        <v>2000</v>
      </c>
      <c r="G24" s="602">
        <f t="shared" si="6"/>
        <v>2000</v>
      </c>
      <c r="H24" s="995"/>
      <c r="I24" s="298"/>
      <c r="J24" s="1016"/>
      <c r="K24" s="992"/>
      <c r="L24" s="992"/>
      <c r="M24" s="992"/>
      <c r="N24" s="992"/>
      <c r="O24" s="992"/>
    </row>
    <row r="25" spans="1:15">
      <c r="A25" s="298"/>
      <c r="B25" s="1016" t="str">
        <f>INVERSION!A55</f>
        <v xml:space="preserve">Lanzamiento de marca </v>
      </c>
      <c r="C25" s="601">
        <f>INVERSION!C55</f>
        <v>15000</v>
      </c>
      <c r="D25" s="601">
        <f t="shared" si="6"/>
        <v>15000</v>
      </c>
      <c r="E25" s="601">
        <f t="shared" si="6"/>
        <v>15000</v>
      </c>
      <c r="F25" s="601">
        <f t="shared" si="6"/>
        <v>15000</v>
      </c>
      <c r="G25" s="602">
        <f t="shared" si="6"/>
        <v>15000</v>
      </c>
      <c r="H25" s="995"/>
      <c r="I25" s="298"/>
      <c r="J25" s="1016"/>
      <c r="K25" s="992"/>
      <c r="L25" s="992"/>
      <c r="M25" s="992"/>
      <c r="N25" s="992"/>
      <c r="O25" s="992"/>
    </row>
    <row r="26" spans="1:15">
      <c r="A26" s="298"/>
      <c r="B26" s="1016">
        <f>INVERSION!A56</f>
        <v>0</v>
      </c>
      <c r="C26" s="601">
        <f>INVERSION!C56</f>
        <v>0</v>
      </c>
      <c r="D26" s="601">
        <f t="shared" si="6"/>
        <v>0</v>
      </c>
      <c r="E26" s="601">
        <f t="shared" si="6"/>
        <v>0</v>
      </c>
      <c r="F26" s="601">
        <f t="shared" si="6"/>
        <v>0</v>
      </c>
      <c r="G26" s="602">
        <f t="shared" si="6"/>
        <v>0</v>
      </c>
      <c r="H26" s="995"/>
      <c r="I26" s="298"/>
      <c r="J26" s="1016"/>
      <c r="K26" s="992"/>
      <c r="L26" s="992"/>
      <c r="M26" s="992"/>
      <c r="N26" s="992"/>
      <c r="O26" s="992"/>
    </row>
    <row r="27" spans="1:15" ht="14" thickBot="1">
      <c r="A27" s="298"/>
      <c r="B27" s="996" t="s">
        <v>340</v>
      </c>
      <c r="C27" s="1017">
        <f>SUM(C21:C26)</f>
        <v>29194</v>
      </c>
      <c r="D27" s="1017">
        <f>SUM(D21:D26)</f>
        <v>29194</v>
      </c>
      <c r="E27" s="1017">
        <f>SUM(E21:E26)</f>
        <v>29194</v>
      </c>
      <c r="F27" s="1017">
        <f>SUM(F21:F26)</f>
        <v>29194</v>
      </c>
      <c r="G27" s="1018">
        <f>SUM(G21:G26)</f>
        <v>29194</v>
      </c>
      <c r="H27" s="998"/>
      <c r="I27" s="298"/>
      <c r="J27" s="996" t="s">
        <v>340</v>
      </c>
      <c r="K27" s="999" t="e">
        <f>C27/$C$28</f>
        <v>#REF!</v>
      </c>
      <c r="L27" s="999" t="e">
        <f>D27/$D$28</f>
        <v>#REF!</v>
      </c>
      <c r="M27" s="999" t="e">
        <f>E27/$E$28</f>
        <v>#REF!</v>
      </c>
      <c r="N27" s="999" t="e">
        <f>F27/$F$28</f>
        <v>#REF!</v>
      </c>
      <c r="O27" s="999" t="e">
        <f>G27/$G$28</f>
        <v>#REF!</v>
      </c>
    </row>
    <row r="28" spans="1:15" s="1025" customFormat="1" ht="15" thickBot="1">
      <c r="A28" s="1019"/>
      <c r="B28" s="1020" t="s">
        <v>88</v>
      </c>
      <c r="C28" s="1021" t="e">
        <f>C9+C19+C27</f>
        <v>#REF!</v>
      </c>
      <c r="D28" s="1021" t="e">
        <f>D9+D19+D27</f>
        <v>#REF!</v>
      </c>
      <c r="E28" s="1021" t="e">
        <f>E9+E19+E27</f>
        <v>#REF!</v>
      </c>
      <c r="F28" s="1021" t="e">
        <f>F9+F19+F27</f>
        <v>#REF!</v>
      </c>
      <c r="G28" s="1022" t="e">
        <f>G9+G19+G27</f>
        <v>#REF!</v>
      </c>
      <c r="H28" s="1023"/>
      <c r="I28" s="1019"/>
      <c r="J28" s="1020" t="s">
        <v>88</v>
      </c>
      <c r="K28" s="1024" t="e">
        <f>K9+K19+K27</f>
        <v>#REF!</v>
      </c>
      <c r="L28" s="1024" t="e">
        <f>L9+L19+L27</f>
        <v>#REF!</v>
      </c>
      <c r="M28" s="1024" t="e">
        <f>M9+M19+M27</f>
        <v>#REF!</v>
      </c>
      <c r="N28" s="1024" t="e">
        <f>N9+N19+N27</f>
        <v>#REF!</v>
      </c>
      <c r="O28" s="1024" t="e">
        <f>O9+O19+O27</f>
        <v>#REF!</v>
      </c>
    </row>
    <row r="29" spans="1:15" ht="15" thickTop="1" thickBot="1">
      <c r="A29" s="1313" t="s">
        <v>89</v>
      </c>
      <c r="B29" s="1314"/>
      <c r="C29" s="1000"/>
      <c r="D29" s="1000"/>
      <c r="E29" s="538"/>
      <c r="F29" s="538"/>
      <c r="G29" s="1026"/>
      <c r="H29" s="397"/>
      <c r="I29" s="1313" t="s">
        <v>89</v>
      </c>
      <c r="J29" s="1314"/>
      <c r="K29" s="1027"/>
      <c r="L29" s="1028"/>
      <c r="M29" s="1028"/>
      <c r="N29" s="1028"/>
      <c r="O29" s="1029"/>
    </row>
    <row r="30" spans="1:15" ht="14" thickBot="1">
      <c r="A30" s="1030" t="s">
        <v>157</v>
      </c>
      <c r="B30" s="995"/>
      <c r="C30" s="601"/>
      <c r="D30" s="601"/>
      <c r="E30" s="353"/>
      <c r="F30" s="353"/>
      <c r="G30" s="367"/>
      <c r="H30" s="397"/>
      <c r="I30" s="1030" t="s">
        <v>157</v>
      </c>
      <c r="J30" s="995"/>
      <c r="K30" s="1027"/>
      <c r="L30" s="1028"/>
      <c r="M30" s="1028"/>
      <c r="N30" s="1028"/>
      <c r="O30" s="1031"/>
    </row>
    <row r="31" spans="1:15" ht="14" thickBot="1">
      <c r="A31" s="982"/>
      <c r="B31" s="995" t="s">
        <v>158</v>
      </c>
      <c r="C31" s="601" t="e">
        <f>'Edo.Result Proy'!B16</f>
        <v>#REF!</v>
      </c>
      <c r="D31" s="601" t="e">
        <f>'Edo.Result Proy'!C16+'Edo.Result Proy'!C17</f>
        <v>#REF!</v>
      </c>
      <c r="E31" s="601" t="e">
        <f>'Edo.Result Proy'!D16+'Edo.Result Proy'!D17</f>
        <v>#REF!</v>
      </c>
      <c r="F31" s="601" t="e">
        <f>'Edo.Result Proy'!E16+'Edo.Result Proy'!E17</f>
        <v>#REF!</v>
      </c>
      <c r="G31" s="602" t="e">
        <f>'Edo.Result Proy'!F16+'Edo.Result Proy'!F17</f>
        <v>#REF!</v>
      </c>
      <c r="H31" s="995"/>
      <c r="I31" s="982"/>
      <c r="J31" s="995" t="s">
        <v>158</v>
      </c>
      <c r="K31" s="1032" t="e">
        <f>C31/$C$28</f>
        <v>#REF!</v>
      </c>
      <c r="L31" s="1028" t="e">
        <f>D31/$D$28</f>
        <v>#REF!</v>
      </c>
      <c r="M31" s="1028" t="e">
        <f>E31/$E$28</f>
        <v>#REF!</v>
      </c>
      <c r="N31" s="1028" t="e">
        <f t="shared" ref="N31:N39" si="7">F31/$F$28</f>
        <v>#REF!</v>
      </c>
      <c r="O31" s="1031" t="e">
        <f t="shared" ref="O31:O39" si="8">G31/$G$28</f>
        <v>#REF!</v>
      </c>
    </row>
    <row r="32" spans="1:15" ht="14" thickBot="1">
      <c r="A32" s="204" t="s">
        <v>90</v>
      </c>
      <c r="B32" s="397"/>
      <c r="C32" s="601"/>
      <c r="D32" s="601"/>
      <c r="E32" s="353"/>
      <c r="F32" s="353"/>
      <c r="G32" s="367"/>
      <c r="H32" s="397"/>
      <c r="I32" s="204" t="s">
        <v>90</v>
      </c>
      <c r="J32" s="397"/>
      <c r="K32" s="1032"/>
      <c r="L32" s="1028"/>
      <c r="M32" s="1028"/>
      <c r="N32" s="1028"/>
      <c r="O32" s="1031"/>
    </row>
    <row r="33" spans="1:15" ht="14" thickBot="1">
      <c r="A33" s="218"/>
      <c r="B33" s="195" t="s">
        <v>228</v>
      </c>
      <c r="C33" s="994">
        <f>'Pago Financiamto'!E26</f>
        <v>0</v>
      </c>
      <c r="D33" s="994">
        <f>'Pago Financiamto'!E38</f>
        <v>0</v>
      </c>
      <c r="E33" s="994">
        <f>'Pago Financiamto'!E50</f>
        <v>0</v>
      </c>
      <c r="F33" s="994">
        <f>'Pago Financiamto'!E62</f>
        <v>0</v>
      </c>
      <c r="G33" s="1033">
        <f>'Pago Financiamto'!I73</f>
        <v>0</v>
      </c>
      <c r="H33" s="995"/>
      <c r="I33" s="218"/>
      <c r="J33" s="195" t="s">
        <v>228</v>
      </c>
      <c r="K33" s="1032" t="e">
        <f>C33/$C$28</f>
        <v>#REF!</v>
      </c>
      <c r="L33" s="1028" t="e">
        <f>D33/$D$28</f>
        <v>#REF!</v>
      </c>
      <c r="M33" s="1028" t="e">
        <f>E33/$E$28</f>
        <v>#REF!</v>
      </c>
      <c r="N33" s="1028" t="e">
        <f t="shared" si="7"/>
        <v>#REF!</v>
      </c>
      <c r="O33" s="1031" t="e">
        <f t="shared" si="8"/>
        <v>#REF!</v>
      </c>
    </row>
    <row r="34" spans="1:15" ht="14" thickBot="1">
      <c r="A34" s="218"/>
      <c r="B34" s="1034" t="s">
        <v>91</v>
      </c>
      <c r="C34" s="997" t="e">
        <f>SUM(C31:C33)</f>
        <v>#REF!</v>
      </c>
      <c r="D34" s="997" t="e">
        <f>SUM(D31:D33)</f>
        <v>#REF!</v>
      </c>
      <c r="E34" s="997" t="e">
        <f>SUM(E31:E33)</f>
        <v>#REF!</v>
      </c>
      <c r="F34" s="997" t="e">
        <f>SUM(F31:F33)</f>
        <v>#REF!</v>
      </c>
      <c r="G34" s="997" t="e">
        <f>SUM(G31:G33)</f>
        <v>#REF!</v>
      </c>
      <c r="H34" s="998"/>
      <c r="I34" s="218"/>
      <c r="J34" s="1034" t="s">
        <v>91</v>
      </c>
      <c r="K34" s="1035" t="e">
        <f>C34/$C$28</f>
        <v>#REF!</v>
      </c>
      <c r="L34" s="1036" t="e">
        <f>D34/$D$28</f>
        <v>#REF!</v>
      </c>
      <c r="M34" s="1036" t="e">
        <f>E34/$E$28</f>
        <v>#REF!</v>
      </c>
      <c r="N34" s="1036" t="e">
        <f t="shared" si="7"/>
        <v>#REF!</v>
      </c>
      <c r="O34" s="1037" t="e">
        <f t="shared" si="8"/>
        <v>#REF!</v>
      </c>
    </row>
    <row r="35" spans="1:15" ht="14" thickBot="1">
      <c r="A35" s="1315" t="s">
        <v>92</v>
      </c>
      <c r="B35" s="1316"/>
      <c r="C35" s="1000"/>
      <c r="D35" s="1000"/>
      <c r="E35" s="353"/>
      <c r="F35" s="353"/>
      <c r="G35" s="367"/>
      <c r="H35" s="397"/>
      <c r="I35" s="1315" t="s">
        <v>92</v>
      </c>
      <c r="J35" s="1316"/>
      <c r="K35" s="1032"/>
      <c r="L35" s="1028"/>
      <c r="M35" s="1028"/>
      <c r="N35" s="1028"/>
      <c r="O35" s="1029"/>
    </row>
    <row r="36" spans="1:15" ht="14" thickBot="1">
      <c r="A36" s="300"/>
      <c r="B36" s="195" t="s">
        <v>159</v>
      </c>
      <c r="C36" s="601">
        <f>'Balance Inic'!$C$31</f>
        <v>6975473.1371430131</v>
      </c>
      <c r="D36" s="601">
        <f>'Balance Inic'!$C$31</f>
        <v>6975473.1371430131</v>
      </c>
      <c r="E36" s="601">
        <f>'Balance Inic'!$C$31</f>
        <v>6975473.1371430131</v>
      </c>
      <c r="F36" s="601">
        <f>'Balance Inic'!$C$31</f>
        <v>6975473.1371430131</v>
      </c>
      <c r="G36" s="602">
        <f>'Balance Inic'!$C$31</f>
        <v>6975473.1371430131</v>
      </c>
      <c r="H36" s="995"/>
      <c r="I36" s="300"/>
      <c r="J36" s="195" t="s">
        <v>159</v>
      </c>
      <c r="K36" s="1032" t="e">
        <f>C36/$C$28</f>
        <v>#REF!</v>
      </c>
      <c r="L36" s="1028" t="e">
        <f>D36/$D$28</f>
        <v>#REF!</v>
      </c>
      <c r="M36" s="1028" t="e">
        <f>E36/$E$28</f>
        <v>#REF!</v>
      </c>
      <c r="N36" s="1028" t="e">
        <f t="shared" si="7"/>
        <v>#REF!</v>
      </c>
      <c r="O36" s="1031" t="e">
        <f t="shared" si="8"/>
        <v>#REF!</v>
      </c>
    </row>
    <row r="37" spans="1:15" ht="14" thickBot="1">
      <c r="A37" s="300"/>
      <c r="B37" s="195" t="s">
        <v>160</v>
      </c>
      <c r="C37" s="994" t="e">
        <f>'Edo.Result Proy'!B18</f>
        <v>#REF!</v>
      </c>
      <c r="D37" s="994" t="e">
        <f>'Edo.Result Proy'!C18</f>
        <v>#REF!</v>
      </c>
      <c r="E37" s="994" t="e">
        <f>'Edo.Result Proy'!D18</f>
        <v>#REF!</v>
      </c>
      <c r="F37" s="994" t="e">
        <f>'Edo.Result Proy'!E18</f>
        <v>#REF!</v>
      </c>
      <c r="G37" s="1033" t="e">
        <f>'Edo.Result Proy'!F18</f>
        <v>#REF!</v>
      </c>
      <c r="H37" s="995"/>
      <c r="I37" s="300"/>
      <c r="J37" s="195" t="s">
        <v>160</v>
      </c>
      <c r="K37" s="1027" t="e">
        <f>C37/$C$28</f>
        <v>#REF!</v>
      </c>
      <c r="L37" s="1028" t="e">
        <f>D37/$D$28</f>
        <v>#REF!</v>
      </c>
      <c r="M37" s="1028" t="e">
        <f>E37/$E$28</f>
        <v>#REF!</v>
      </c>
      <c r="N37" s="1028" t="e">
        <f t="shared" si="7"/>
        <v>#REF!</v>
      </c>
      <c r="O37" s="1031" t="e">
        <f t="shared" si="8"/>
        <v>#REF!</v>
      </c>
    </row>
    <row r="38" spans="1:15" ht="14" thickBot="1">
      <c r="A38" s="300"/>
      <c r="B38" s="195" t="s">
        <v>306</v>
      </c>
      <c r="C38" s="995">
        <v>0</v>
      </c>
      <c r="D38" s="995"/>
      <c r="E38" s="995"/>
      <c r="F38" s="995"/>
      <c r="G38" s="1038"/>
      <c r="H38" s="995"/>
      <c r="I38" s="300"/>
      <c r="J38" s="195" t="s">
        <v>306</v>
      </c>
      <c r="K38" s="1027"/>
      <c r="L38" s="1028"/>
      <c r="M38" s="1028"/>
      <c r="N38" s="1028"/>
      <c r="O38" s="1031"/>
    </row>
    <row r="39" spans="1:15" ht="14" thickBot="1">
      <c r="A39" s="1039"/>
      <c r="B39" s="1040" t="s">
        <v>94</v>
      </c>
      <c r="C39" s="997" t="e">
        <f>SUM(C36:C38)</f>
        <v>#REF!</v>
      </c>
      <c r="D39" s="997" t="e">
        <f>SUM(D36:D38)</f>
        <v>#REF!</v>
      </c>
      <c r="E39" s="997" t="e">
        <f>SUM(E36:E38)</f>
        <v>#REF!</v>
      </c>
      <c r="F39" s="997" t="e">
        <f>SUM(F36:F38)</f>
        <v>#REF!</v>
      </c>
      <c r="G39" s="997" t="e">
        <f>SUM(G36:G38)</f>
        <v>#REF!</v>
      </c>
      <c r="H39" s="998"/>
      <c r="I39" s="1039"/>
      <c r="J39" s="1040" t="s">
        <v>94</v>
      </c>
      <c r="K39" s="1035" t="e">
        <f>C39/$C$28</f>
        <v>#REF!</v>
      </c>
      <c r="L39" s="1036" t="e">
        <f>D39/$D$28</f>
        <v>#REF!</v>
      </c>
      <c r="M39" s="1036" t="e">
        <f>E39/$E$28</f>
        <v>#REF!</v>
      </c>
      <c r="N39" s="1036" t="e">
        <f t="shared" si="7"/>
        <v>#REF!</v>
      </c>
      <c r="O39" s="1037" t="e">
        <f t="shared" si="8"/>
        <v>#REF!</v>
      </c>
    </row>
    <row r="40" spans="1:15">
      <c r="A40" s="300"/>
      <c r="B40" s="397"/>
      <c r="C40" s="1000"/>
      <c r="D40" s="1000"/>
      <c r="E40" s="1000"/>
      <c r="F40" s="1000"/>
      <c r="G40" s="1000"/>
      <c r="H40" s="995"/>
      <c r="I40" s="300"/>
      <c r="J40" s="397"/>
      <c r="K40" s="1041"/>
      <c r="L40" s="1042"/>
      <c r="M40" s="1042"/>
      <c r="N40" s="1042"/>
      <c r="O40" s="1043"/>
    </row>
    <row r="41" spans="1:15" s="1025" customFormat="1" ht="14">
      <c r="A41" s="1317" t="s">
        <v>95</v>
      </c>
      <c r="B41" s="1317"/>
      <c r="C41" s="1044" t="e">
        <f>C34+C39</f>
        <v>#REF!</v>
      </c>
      <c r="D41" s="1044" t="e">
        <f>D34+D39</f>
        <v>#REF!</v>
      </c>
      <c r="E41" s="1044" t="e">
        <f>E34+E39</f>
        <v>#REF!</v>
      </c>
      <c r="F41" s="1044" t="e">
        <f>F34+F39</f>
        <v>#REF!</v>
      </c>
      <c r="G41" s="1044" t="e">
        <f>G34+G39</f>
        <v>#REF!</v>
      </c>
      <c r="H41" s="397"/>
      <c r="I41" s="1317" t="s">
        <v>95</v>
      </c>
      <c r="J41" s="1317"/>
      <c r="K41" s="1045" t="e">
        <f>K34+K39</f>
        <v>#REF!</v>
      </c>
      <c r="L41" s="1045" t="e">
        <f>L34+L39</f>
        <v>#REF!</v>
      </c>
      <c r="M41" s="1045" t="e">
        <f>M34+M39</f>
        <v>#REF!</v>
      </c>
      <c r="N41" s="1045" t="e">
        <f>N34+N39</f>
        <v>#REF!</v>
      </c>
      <c r="O41" s="1045" t="e">
        <f>O34+O39</f>
        <v>#REF!</v>
      </c>
    </row>
    <row r="42" spans="1:15">
      <c r="B42" s="187" t="s">
        <v>229</v>
      </c>
      <c r="C42" s="1046" t="e">
        <f>C28-C41</f>
        <v>#REF!</v>
      </c>
      <c r="D42" s="1046" t="e">
        <f>D28-D41</f>
        <v>#REF!</v>
      </c>
      <c r="E42" s="1046" t="e">
        <f>E28-E41</f>
        <v>#REF!</v>
      </c>
      <c r="F42" s="1046" t="e">
        <f>F28-F41</f>
        <v>#REF!</v>
      </c>
      <c r="G42" s="1046" t="e">
        <f>G28-G41</f>
        <v>#REF!</v>
      </c>
      <c r="H42" s="1046"/>
    </row>
    <row r="43" spans="1:15">
      <c r="A43" s="397"/>
      <c r="B43" s="397"/>
      <c r="C43" s="397"/>
      <c r="D43" s="397"/>
      <c r="E43" s="397"/>
      <c r="F43" s="397"/>
      <c r="G43" s="397"/>
      <c r="H43" s="397"/>
    </row>
    <row r="44" spans="1:15">
      <c r="A44" s="397"/>
      <c r="B44" s="397"/>
      <c r="C44" s="397"/>
      <c r="D44" s="397"/>
      <c r="E44" s="397"/>
      <c r="F44" s="397"/>
      <c r="G44" s="397"/>
      <c r="H44" s="397"/>
    </row>
    <row r="45" spans="1:15">
      <c r="A45" s="1312" t="s">
        <v>395</v>
      </c>
      <c r="B45" s="1312"/>
      <c r="C45" s="1310"/>
      <c r="D45" s="1310"/>
      <c r="E45" s="1310"/>
      <c r="F45" s="1310"/>
      <c r="G45" s="1310"/>
      <c r="H45" s="1047"/>
    </row>
    <row r="46" spans="1:15" ht="14" thickBot="1">
      <c r="A46" s="397"/>
      <c r="B46" s="193"/>
      <c r="C46" s="1048"/>
      <c r="D46" s="1048"/>
      <c r="E46" s="1048"/>
      <c r="F46" s="1048"/>
      <c r="G46" s="1048"/>
      <c r="H46" s="1048"/>
    </row>
    <row r="47" spans="1:15" ht="14" thickBot="1">
      <c r="A47" s="397"/>
      <c r="B47" s="193" t="s">
        <v>271</v>
      </c>
      <c r="C47" s="1049" t="e">
        <f>K9</f>
        <v>#REF!</v>
      </c>
      <c r="D47" s="1050"/>
      <c r="E47" s="1050"/>
      <c r="F47" s="1050"/>
      <c r="G47" s="1050"/>
      <c r="H47" s="1050"/>
      <c r="I47" s="1050"/>
      <c r="J47" s="1050"/>
    </row>
    <row r="48" spans="1:15">
      <c r="A48" s="1051">
        <v>1</v>
      </c>
      <c r="B48" s="193" t="s">
        <v>272</v>
      </c>
      <c r="C48" s="1052" t="e">
        <f>K19</f>
        <v>#REF!</v>
      </c>
      <c r="D48" s="1052"/>
      <c r="E48" s="1052"/>
      <c r="F48" s="1052"/>
      <c r="G48" s="1052"/>
      <c r="H48" s="1052"/>
      <c r="I48" s="764"/>
      <c r="J48" s="764"/>
    </row>
    <row r="49" spans="1:10">
      <c r="A49" s="1051" t="s">
        <v>161</v>
      </c>
      <c r="B49" s="193" t="s">
        <v>396</v>
      </c>
      <c r="C49" s="1052" t="e">
        <f>K27</f>
        <v>#REF!</v>
      </c>
      <c r="D49" s="995"/>
      <c r="E49" s="995"/>
      <c r="F49" s="995"/>
      <c r="G49" s="995"/>
      <c r="H49" s="995"/>
    </row>
    <row r="50" spans="1:10">
      <c r="A50" s="1051" t="s">
        <v>162</v>
      </c>
      <c r="B50" s="193" t="s">
        <v>273</v>
      </c>
      <c r="C50" s="1052">
        <v>0.27108242369762547</v>
      </c>
      <c r="D50" s="1052"/>
      <c r="E50" s="1052"/>
      <c r="F50" s="1052"/>
      <c r="G50" s="1052"/>
      <c r="H50" s="1052"/>
      <c r="I50" s="764"/>
      <c r="J50" s="764"/>
    </row>
    <row r="51" spans="1:10">
      <c r="A51" s="1051" t="s">
        <v>161</v>
      </c>
      <c r="B51" s="193" t="s">
        <v>274</v>
      </c>
      <c r="C51" s="1053">
        <v>0.72891757630237441</v>
      </c>
      <c r="D51" s="1053"/>
      <c r="E51" s="1053"/>
      <c r="F51" s="1053"/>
      <c r="G51" s="1053"/>
      <c r="H51" s="1053"/>
      <c r="I51" s="764"/>
      <c r="J51" s="764"/>
    </row>
    <row r="52" spans="1:10">
      <c r="A52" s="397"/>
      <c r="B52" s="397"/>
      <c r="C52" s="995"/>
      <c r="D52" s="995"/>
      <c r="E52" s="397"/>
      <c r="F52" s="397"/>
      <c r="G52" s="397"/>
      <c r="H52" s="397"/>
    </row>
    <row r="53" spans="1:10">
      <c r="A53" s="397"/>
      <c r="B53" s="1311"/>
      <c r="C53" s="1311"/>
      <c r="D53" s="1311"/>
      <c r="E53" s="1311"/>
      <c r="F53" s="1311"/>
      <c r="G53" s="1311"/>
      <c r="H53" s="1054"/>
    </row>
    <row r="54" spans="1:10" ht="14" thickBot="1">
      <c r="A54" s="397"/>
      <c r="B54" s="805"/>
      <c r="C54" s="314"/>
      <c r="D54" s="314"/>
      <c r="E54" s="314"/>
      <c r="F54" s="314"/>
      <c r="G54" s="314"/>
      <c r="H54" s="314"/>
    </row>
    <row r="55" spans="1:10" ht="14" thickBot="1">
      <c r="A55" s="397">
        <v>2</v>
      </c>
      <c r="B55" s="193" t="s">
        <v>271</v>
      </c>
      <c r="C55" s="1027" t="e">
        <f>L9</f>
        <v>#REF!</v>
      </c>
      <c r="D55" s="314"/>
      <c r="E55" s="314"/>
      <c r="F55" s="314"/>
      <c r="G55" s="314"/>
      <c r="H55" s="314"/>
    </row>
    <row r="56" spans="1:10">
      <c r="A56" s="397"/>
      <c r="B56" s="193" t="s">
        <v>272</v>
      </c>
      <c r="C56" s="1052" t="e">
        <f>L19</f>
        <v>#REF!</v>
      </c>
      <c r="D56" s="314"/>
      <c r="E56" s="314"/>
      <c r="F56" s="314"/>
      <c r="G56" s="314"/>
      <c r="H56" s="314"/>
    </row>
    <row r="57" spans="1:10">
      <c r="A57" s="397"/>
      <c r="B57" s="193" t="s">
        <v>396</v>
      </c>
      <c r="C57" s="1052" t="e">
        <f>L27</f>
        <v>#REF!</v>
      </c>
      <c r="D57" s="511"/>
      <c r="E57" s="511"/>
      <c r="F57" s="511"/>
      <c r="G57" s="511"/>
      <c r="H57" s="511"/>
    </row>
    <row r="58" spans="1:10">
      <c r="A58" s="397"/>
      <c r="B58" s="193" t="s">
        <v>273</v>
      </c>
      <c r="C58" s="1052" t="e">
        <f>L34</f>
        <v>#REF!</v>
      </c>
      <c r="D58" s="805"/>
      <c r="E58" s="805"/>
      <c r="F58" s="805"/>
      <c r="G58" s="805"/>
      <c r="H58" s="805"/>
    </row>
    <row r="59" spans="1:10">
      <c r="A59" s="397"/>
      <c r="B59" s="193" t="s">
        <v>274</v>
      </c>
      <c r="C59" s="1053" t="e">
        <f>L39</f>
        <v>#REF!</v>
      </c>
      <c r="D59" s="805"/>
      <c r="E59" s="805"/>
      <c r="F59" s="805"/>
      <c r="G59" s="805"/>
      <c r="H59" s="805"/>
    </row>
    <row r="60" spans="1:10" ht="14" thickBot="1">
      <c r="A60" s="397"/>
      <c r="B60" s="805"/>
      <c r="C60" s="314"/>
      <c r="D60" s="314"/>
      <c r="E60" s="314"/>
      <c r="F60" s="314"/>
      <c r="G60" s="314"/>
      <c r="H60" s="314"/>
    </row>
    <row r="61" spans="1:10" ht="14" thickBot="1">
      <c r="A61" s="397">
        <v>3</v>
      </c>
      <c r="B61" s="193" t="s">
        <v>271</v>
      </c>
      <c r="C61" s="1055" t="e">
        <f>M9</f>
        <v>#REF!</v>
      </c>
      <c r="D61" s="314"/>
      <c r="E61" s="314"/>
      <c r="F61" s="314"/>
      <c r="G61" s="314"/>
      <c r="H61" s="314"/>
    </row>
    <row r="62" spans="1:10">
      <c r="A62" s="397"/>
      <c r="B62" s="193" t="s">
        <v>272</v>
      </c>
      <c r="C62" s="1052" t="e">
        <f>M19</f>
        <v>#REF!</v>
      </c>
      <c r="D62" s="314"/>
      <c r="E62" s="314"/>
      <c r="F62" s="314"/>
      <c r="G62" s="314"/>
      <c r="H62" s="314"/>
    </row>
    <row r="63" spans="1:10">
      <c r="A63" s="397"/>
      <c r="B63" s="193" t="s">
        <v>396</v>
      </c>
      <c r="C63" s="1052" t="e">
        <f>M27</f>
        <v>#REF!</v>
      </c>
      <c r="D63" s="314"/>
      <c r="E63" s="314"/>
      <c r="F63" s="314"/>
      <c r="G63" s="314"/>
      <c r="H63" s="314"/>
    </row>
    <row r="64" spans="1:10">
      <c r="A64" s="397"/>
      <c r="B64" s="193" t="s">
        <v>273</v>
      </c>
      <c r="C64" s="1052" t="e">
        <f>M34</f>
        <v>#REF!</v>
      </c>
      <c r="D64" s="314"/>
      <c r="E64" s="314"/>
      <c r="F64" s="314"/>
      <c r="G64" s="314"/>
      <c r="H64" s="314"/>
    </row>
    <row r="65" spans="1:8">
      <c r="A65" s="397"/>
      <c r="B65" s="193" t="s">
        <v>274</v>
      </c>
      <c r="C65" s="1053" t="e">
        <f>M39</f>
        <v>#REF!</v>
      </c>
      <c r="D65" s="397"/>
      <c r="E65" s="397"/>
      <c r="F65" s="397"/>
      <c r="G65" s="397"/>
      <c r="H65" s="397"/>
    </row>
    <row r="66" spans="1:8" ht="14" thickBot="1">
      <c r="A66" s="397"/>
      <c r="B66" s="397"/>
      <c r="C66" s="397"/>
      <c r="D66" s="397"/>
      <c r="E66" s="397"/>
      <c r="F66" s="397"/>
      <c r="G66" s="397"/>
      <c r="H66" s="397"/>
    </row>
    <row r="67" spans="1:8" ht="14" thickBot="1">
      <c r="A67" s="397">
        <v>4</v>
      </c>
      <c r="B67" s="193" t="s">
        <v>271</v>
      </c>
      <c r="C67" s="1055" t="e">
        <f>N9</f>
        <v>#REF!</v>
      </c>
      <c r="D67" s="397"/>
      <c r="E67" s="397"/>
      <c r="F67" s="397"/>
      <c r="G67" s="397"/>
      <c r="H67" s="397"/>
    </row>
    <row r="68" spans="1:8">
      <c r="B68" s="193" t="s">
        <v>272</v>
      </c>
      <c r="C68" s="1052" t="e">
        <f>N19</f>
        <v>#REF!</v>
      </c>
    </row>
    <row r="69" spans="1:8">
      <c r="B69" s="193" t="s">
        <v>396</v>
      </c>
      <c r="C69" s="995" t="e">
        <f>N27</f>
        <v>#REF!</v>
      </c>
    </row>
    <row r="70" spans="1:8">
      <c r="B70" s="193" t="s">
        <v>273</v>
      </c>
      <c r="C70" s="1052" t="e">
        <f>N34</f>
        <v>#REF!</v>
      </c>
    </row>
    <row r="71" spans="1:8">
      <c r="B71" s="193" t="s">
        <v>274</v>
      </c>
      <c r="C71" s="1053" t="e">
        <f>N39</f>
        <v>#REF!</v>
      </c>
    </row>
    <row r="72" spans="1:8" ht="14" thickBot="1"/>
    <row r="73" spans="1:8" ht="14" thickBot="1">
      <c r="A73" s="187">
        <v>5</v>
      </c>
      <c r="B73" s="193" t="s">
        <v>271</v>
      </c>
      <c r="C73" s="1055" t="e">
        <f>O9</f>
        <v>#REF!</v>
      </c>
    </row>
    <row r="74" spans="1:8">
      <c r="B74" s="193" t="s">
        <v>272</v>
      </c>
      <c r="C74" s="1052" t="e">
        <f>O19</f>
        <v>#REF!</v>
      </c>
    </row>
    <row r="75" spans="1:8">
      <c r="B75" s="193" t="s">
        <v>396</v>
      </c>
      <c r="C75" s="1052" t="e">
        <f>O27</f>
        <v>#REF!</v>
      </c>
    </row>
    <row r="76" spans="1:8">
      <c r="B76" s="193" t="s">
        <v>273</v>
      </c>
      <c r="C76" s="1052" t="e">
        <f>O34</f>
        <v>#REF!</v>
      </c>
    </row>
    <row r="77" spans="1:8">
      <c r="B77" s="193" t="s">
        <v>274</v>
      </c>
      <c r="C77" s="1053" t="e">
        <f>O39</f>
        <v>#REF!</v>
      </c>
    </row>
  </sheetData>
  <mergeCells count="16">
    <mergeCell ref="A1:G1"/>
    <mergeCell ref="B2:G2"/>
    <mergeCell ref="I3:J3"/>
    <mergeCell ref="C45:G45"/>
    <mergeCell ref="B53:G53"/>
    <mergeCell ref="A45:B45"/>
    <mergeCell ref="A3:B3"/>
    <mergeCell ref="I29:J29"/>
    <mergeCell ref="I35:J35"/>
    <mergeCell ref="I41:J41"/>
    <mergeCell ref="I4:J4"/>
    <mergeCell ref="A4:B4"/>
    <mergeCell ref="A29:B29"/>
    <mergeCell ref="I2:O2"/>
    <mergeCell ref="A35:B35"/>
    <mergeCell ref="A41:B41"/>
  </mergeCells>
  <phoneticPr fontId="0" type="noConversion"/>
  <pageMargins left="0.75" right="0.75" top="1" bottom="1" header="0" footer="0"/>
  <pageSetup paperSize="9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75"/>
  <sheetViews>
    <sheetView topLeftCell="A19" workbookViewId="0">
      <selection activeCell="A40" sqref="A40:G46"/>
    </sheetView>
  </sheetViews>
  <sheetFormatPr baseColWidth="10" defaultColWidth="11" defaultRowHeight="13"/>
  <cols>
    <col min="1" max="1" width="11" style="187"/>
    <col min="2" max="2" width="34.33203125" style="187" customWidth="1"/>
    <col min="3" max="6" width="11" style="187"/>
    <col min="7" max="7" width="12" style="187" customWidth="1"/>
    <col min="8" max="16384" width="11" style="187"/>
  </cols>
  <sheetData>
    <row r="2" spans="1:7" ht="19">
      <c r="A2" s="1056"/>
      <c r="B2" s="1321" t="s">
        <v>180</v>
      </c>
      <c r="C2" s="1321"/>
      <c r="D2" s="1321"/>
      <c r="E2" s="1321"/>
      <c r="F2" s="1321"/>
      <c r="G2" s="1321"/>
    </row>
    <row r="4" spans="1:7" ht="17" thickBot="1">
      <c r="A4" s="1069" t="s">
        <v>413</v>
      </c>
      <c r="B4" s="1069"/>
      <c r="C4" s="1070" t="s">
        <v>52</v>
      </c>
      <c r="D4" s="1058"/>
    </row>
    <row r="5" spans="1:7">
      <c r="A5" s="975"/>
      <c r="B5" s="975"/>
      <c r="C5" s="1071" t="s">
        <v>53</v>
      </c>
      <c r="D5" s="1059"/>
    </row>
    <row r="7" spans="1:7">
      <c r="A7" s="1060"/>
      <c r="B7" s="1061" t="s">
        <v>0</v>
      </c>
      <c r="C7" s="1061" t="s">
        <v>54</v>
      </c>
      <c r="D7" s="1061" t="s">
        <v>236</v>
      </c>
      <c r="E7" s="1061" t="s">
        <v>237</v>
      </c>
      <c r="F7" s="1061" t="s">
        <v>238</v>
      </c>
      <c r="G7" s="1061" t="s">
        <v>239</v>
      </c>
    </row>
    <row r="8" spans="1:7">
      <c r="A8" s="1062"/>
      <c r="C8" s="758"/>
      <c r="D8" s="758"/>
      <c r="E8" s="758"/>
      <c r="F8" s="758"/>
      <c r="G8" s="758"/>
    </row>
    <row r="9" spans="1:7">
      <c r="B9" s="305"/>
      <c r="C9" s="1063" t="e">
        <f>'Balances Proy'!C9/'Balances Proy'!C31</f>
        <v>#REF!</v>
      </c>
      <c r="D9" s="1063" t="e">
        <f>'Balances Proy'!D9/'Balances Proy'!D31</f>
        <v>#REF!</v>
      </c>
      <c r="E9" s="1063" t="e">
        <f>'Balances Proy'!E9/'Balances Proy'!E31</f>
        <v>#REF!</v>
      </c>
      <c r="F9" s="1063" t="e">
        <f>'Balances Proy'!F9/'Balances Proy'!F31</f>
        <v>#REF!</v>
      </c>
      <c r="G9" s="1063" t="e">
        <f>'Balances Proy'!G9/'Balances Proy'!G31</f>
        <v>#REF!</v>
      </c>
    </row>
    <row r="10" spans="1:7">
      <c r="C10" s="187" t="s">
        <v>338</v>
      </c>
    </row>
    <row r="13" spans="1:7" ht="17" thickBot="1">
      <c r="A13" s="1069" t="s">
        <v>230</v>
      </c>
      <c r="B13" s="1069"/>
      <c r="C13" s="1072" t="s">
        <v>55</v>
      </c>
      <c r="D13" s="1064"/>
    </row>
    <row r="14" spans="1:7" ht="16">
      <c r="A14" s="1069"/>
      <c r="B14" s="1069"/>
      <c r="C14" s="1069" t="s">
        <v>57</v>
      </c>
      <c r="D14" s="1057"/>
    </row>
    <row r="16" spans="1:7">
      <c r="A16" s="1060"/>
      <c r="B16" s="1065" t="s">
        <v>0</v>
      </c>
      <c r="C16" s="1061" t="s">
        <v>54</v>
      </c>
      <c r="D16" s="1061" t="s">
        <v>236</v>
      </c>
      <c r="E16" s="1061" t="s">
        <v>237</v>
      </c>
      <c r="F16" s="1061" t="s">
        <v>238</v>
      </c>
      <c r="G16" s="1061" t="s">
        <v>239</v>
      </c>
    </row>
    <row r="17" spans="1:9">
      <c r="A17" s="1060"/>
      <c r="B17" s="242"/>
      <c r="C17" s="1061"/>
      <c r="D17" s="1061"/>
      <c r="E17" s="1061"/>
      <c r="F17" s="1061"/>
      <c r="G17" s="1061"/>
    </row>
    <row r="18" spans="1:9">
      <c r="A18" s="1060"/>
      <c r="B18" s="242"/>
      <c r="C18" s="1066" t="e">
        <f>'Balances Proy'!C34/'Balances Proy'!C28</f>
        <v>#REF!</v>
      </c>
      <c r="D18" s="1066" t="e">
        <f>'Balances Proy'!D34/'Balances Proy'!D28</f>
        <v>#REF!</v>
      </c>
      <c r="E18" s="1066" t="e">
        <f>'Balances Proy'!E34/'Balances Proy'!E28</f>
        <v>#REF!</v>
      </c>
      <c r="F18" s="1066" t="e">
        <f>'Balances Proy'!F34/'Balances Proy'!F28</f>
        <v>#REF!</v>
      </c>
      <c r="G18" s="1066" t="e">
        <f>'Balances Proy'!G34/'Balances Proy'!G28</f>
        <v>#REF!</v>
      </c>
    </row>
    <row r="19" spans="1:9">
      <c r="C19" s="187" t="s">
        <v>231</v>
      </c>
    </row>
    <row r="20" spans="1:9">
      <c r="C20" s="187" t="s">
        <v>232</v>
      </c>
    </row>
    <row r="22" spans="1:9" ht="17" thickBot="1">
      <c r="A22" s="1069" t="s">
        <v>59</v>
      </c>
      <c r="B22" s="1069"/>
      <c r="C22" s="1072" t="s">
        <v>58</v>
      </c>
      <c r="D22" s="1064"/>
      <c r="H22" s="187" t="s">
        <v>31</v>
      </c>
      <c r="I22" s="187" t="s">
        <v>31</v>
      </c>
    </row>
    <row r="23" spans="1:9" ht="16">
      <c r="A23" s="1069"/>
      <c r="B23" s="1069"/>
      <c r="C23" s="1069" t="s">
        <v>56</v>
      </c>
      <c r="D23" s="1057"/>
    </row>
    <row r="25" spans="1:9">
      <c r="A25" s="1060"/>
      <c r="B25" s="1065" t="s">
        <v>0</v>
      </c>
      <c r="C25" s="1061" t="s">
        <v>54</v>
      </c>
      <c r="D25" s="1061" t="s">
        <v>236</v>
      </c>
      <c r="E25" s="1061" t="s">
        <v>237</v>
      </c>
      <c r="F25" s="1061" t="s">
        <v>238</v>
      </c>
      <c r="G25" s="1061" t="s">
        <v>239</v>
      </c>
    </row>
    <row r="26" spans="1:9">
      <c r="A26" s="1062"/>
      <c r="C26" s="758"/>
      <c r="D26" s="758"/>
      <c r="E26" s="1067"/>
      <c r="F26" s="758"/>
      <c r="G26" s="758"/>
    </row>
    <row r="27" spans="1:9">
      <c r="A27" s="1062"/>
      <c r="C27" s="1068" t="e">
        <f>'Edo.Result Proy'!B7/'Balances Proy'!C28</f>
        <v>#REF!</v>
      </c>
      <c r="D27" s="1068" t="e">
        <f>'Edo.Result Proy'!C7/'Balances Proy'!D28</f>
        <v>#REF!</v>
      </c>
      <c r="E27" s="1068" t="e">
        <f>'Edo.Result Proy'!D7/'Balances Proy'!E28</f>
        <v>#REF!</v>
      </c>
      <c r="F27" s="1068" t="e">
        <f>'Edo.Result Proy'!E7/'Balances Proy'!F28</f>
        <v>#REF!</v>
      </c>
      <c r="G27" s="1068" t="e">
        <f>'Edo.Result Proy'!F7/'Balances Proy'!G28</f>
        <v>#REF!</v>
      </c>
    </row>
    <row r="28" spans="1:9">
      <c r="A28" s="1062"/>
      <c r="C28" s="187" t="s">
        <v>233</v>
      </c>
      <c r="F28" s="187" t="s">
        <v>31</v>
      </c>
    </row>
    <row r="29" spans="1:9">
      <c r="C29" s="187" t="s">
        <v>234</v>
      </c>
    </row>
    <row r="31" spans="1:9" ht="17" thickBot="1">
      <c r="A31" s="1069" t="s">
        <v>60</v>
      </c>
      <c r="B31" s="1069"/>
      <c r="C31" s="1072" t="s">
        <v>6</v>
      </c>
      <c r="D31" s="1064"/>
    </row>
    <row r="32" spans="1:9" ht="16">
      <c r="A32" s="1069"/>
      <c r="B32" s="1069"/>
      <c r="C32" s="1073" t="s">
        <v>58</v>
      </c>
      <c r="D32" s="1057"/>
    </row>
    <row r="34" spans="1:8">
      <c r="A34" s="1060"/>
      <c r="B34" s="1065" t="s">
        <v>0</v>
      </c>
      <c r="C34" s="1061" t="s">
        <v>54</v>
      </c>
      <c r="D34" s="1061" t="s">
        <v>236</v>
      </c>
      <c r="E34" s="1061" t="s">
        <v>237</v>
      </c>
      <c r="F34" s="1061" t="s">
        <v>238</v>
      </c>
      <c r="G34" s="1061" t="s">
        <v>239</v>
      </c>
    </row>
    <row r="35" spans="1:8">
      <c r="A35" s="1060"/>
      <c r="B35" s="242"/>
      <c r="C35" s="1061"/>
      <c r="D35" s="1061"/>
      <c r="E35" s="1061"/>
      <c r="F35" s="1061"/>
      <c r="G35" s="1061"/>
    </row>
    <row r="36" spans="1:8">
      <c r="A36" s="1060"/>
      <c r="B36" s="242"/>
      <c r="C36" s="1066" t="e">
        <f>'Edo.Result Proy'!B18/'Edo.Result Proy'!B7</f>
        <v>#REF!</v>
      </c>
      <c r="D36" s="1066" t="e">
        <f>'Edo.Result Proy'!C18/'Edo.Result Proy'!C7</f>
        <v>#REF!</v>
      </c>
      <c r="E36" s="1066" t="e">
        <f>'Edo.Result Proy'!D18/'Edo.Result Proy'!D7</f>
        <v>#REF!</v>
      </c>
      <c r="F36" s="1066" t="e">
        <f>'Edo.Result Proy'!E18/'Edo.Result Proy'!E7</f>
        <v>#REF!</v>
      </c>
      <c r="G36" s="1066" t="e">
        <f>'Edo.Result Proy'!F18/'Edo.Result Proy'!F7</f>
        <v>#REF!</v>
      </c>
    </row>
    <row r="37" spans="1:8">
      <c r="C37" s="187" t="s">
        <v>235</v>
      </c>
    </row>
    <row r="40" spans="1:8" ht="17" thickBot="1">
      <c r="A40" s="1069" t="s">
        <v>61</v>
      </c>
      <c r="B40" s="1069"/>
      <c r="C40" s="1072" t="s">
        <v>6</v>
      </c>
      <c r="D40" s="1064"/>
    </row>
    <row r="41" spans="1:8" ht="16">
      <c r="A41" s="1069"/>
      <c r="B41" s="1069"/>
      <c r="C41" s="1073" t="s">
        <v>57</v>
      </c>
      <c r="D41" s="1057"/>
    </row>
    <row r="43" spans="1:8">
      <c r="A43" s="1060"/>
      <c r="B43" s="1065" t="s">
        <v>0</v>
      </c>
      <c r="C43" s="1061" t="s">
        <v>54</v>
      </c>
      <c r="D43" s="1061" t="s">
        <v>236</v>
      </c>
      <c r="E43" s="1061" t="s">
        <v>237</v>
      </c>
      <c r="F43" s="1061" t="s">
        <v>238</v>
      </c>
      <c r="G43" s="1061" t="s">
        <v>239</v>
      </c>
    </row>
    <row r="44" spans="1:8">
      <c r="A44" s="1060"/>
      <c r="B44" s="242"/>
      <c r="C44" s="1061"/>
      <c r="D44" s="1061"/>
      <c r="E44" s="1061"/>
      <c r="F44" s="1061"/>
      <c r="G44" s="1061"/>
    </row>
    <row r="45" spans="1:8">
      <c r="A45" s="1060"/>
      <c r="B45" s="242"/>
      <c r="C45" s="1066" t="e">
        <f>'Balances Proy'!C37/'Balances Proy'!C28</f>
        <v>#REF!</v>
      </c>
      <c r="D45" s="1066" t="e">
        <f>'Balances Proy'!D37/'Balances Proy'!D28</f>
        <v>#REF!</v>
      </c>
      <c r="E45" s="1066" t="e">
        <f>'Balances Proy'!E37/'Balances Proy'!E28</f>
        <v>#REF!</v>
      </c>
      <c r="F45" s="1066" t="e">
        <f>'Balances Proy'!F37/'Balances Proy'!F28</f>
        <v>#REF!</v>
      </c>
      <c r="G45" s="1066" t="e">
        <f>'Balances Proy'!G37/'Balances Proy'!G28</f>
        <v>#REF!</v>
      </c>
    </row>
    <row r="46" spans="1:8">
      <c r="C46" s="187" t="s">
        <v>287</v>
      </c>
      <c r="H46" s="187" t="s">
        <v>31</v>
      </c>
    </row>
    <row r="47" spans="1:8">
      <c r="E47" s="764"/>
    </row>
    <row r="48" spans="1:8">
      <c r="E48" s="764"/>
    </row>
    <row r="49" spans="1:7" ht="17" thickBot="1">
      <c r="A49" s="1069" t="s">
        <v>63</v>
      </c>
      <c r="B49" s="1069"/>
      <c r="C49" s="1072" t="s">
        <v>6</v>
      </c>
      <c r="D49" s="1064"/>
      <c r="E49" s="764"/>
    </row>
    <row r="50" spans="1:7" ht="16">
      <c r="A50" s="1057"/>
      <c r="B50" s="1069"/>
      <c r="C50" s="1073" t="s">
        <v>62</v>
      </c>
      <c r="D50" s="1057"/>
      <c r="E50" s="764"/>
    </row>
    <row r="51" spans="1:7" ht="16">
      <c r="A51" s="1057"/>
      <c r="B51" s="1057"/>
      <c r="C51" s="1057"/>
      <c r="D51" s="1057"/>
      <c r="E51" s="764"/>
    </row>
    <row r="52" spans="1:7">
      <c r="A52" s="1060"/>
      <c r="B52" s="1065" t="s">
        <v>0</v>
      </c>
      <c r="C52" s="1061" t="s">
        <v>54</v>
      </c>
      <c r="D52" s="1061" t="s">
        <v>236</v>
      </c>
      <c r="E52" s="1061" t="s">
        <v>237</v>
      </c>
      <c r="F52" s="1061" t="s">
        <v>238</v>
      </c>
      <c r="G52" s="1061" t="s">
        <v>239</v>
      </c>
    </row>
    <row r="53" spans="1:7">
      <c r="A53" s="1062"/>
      <c r="C53" s="353"/>
      <c r="D53" s="353"/>
      <c r="E53" s="762"/>
      <c r="F53" s="353"/>
      <c r="G53" s="353"/>
    </row>
    <row r="54" spans="1:7">
      <c r="C54" s="1066" t="e">
        <f>'Balances Proy'!C37/'Balances Proy'!C36</f>
        <v>#REF!</v>
      </c>
      <c r="D54" s="1066" t="e">
        <f>'Balances Proy'!D37/'Balances Proy'!D36</f>
        <v>#REF!</v>
      </c>
      <c r="E54" s="1066" t="e">
        <f>'Balances Proy'!E37/'Balances Proy'!E36</f>
        <v>#REF!</v>
      </c>
      <c r="F54" s="1066" t="e">
        <f>'Balances Proy'!F37/'Balances Proy'!F36</f>
        <v>#REF!</v>
      </c>
      <c r="G54" s="1066" t="e">
        <f>'Balances Proy'!G37/'Balances Proy'!G36</f>
        <v>#REF!</v>
      </c>
    </row>
    <row r="56" spans="1:7">
      <c r="C56" s="764" t="s">
        <v>409</v>
      </c>
    </row>
    <row r="59" spans="1:7">
      <c r="A59" s="397"/>
      <c r="B59" s="397"/>
      <c r="C59" s="397"/>
      <c r="D59" s="397"/>
      <c r="E59" s="397"/>
      <c r="F59" s="397"/>
    </row>
    <row r="60" spans="1:7">
      <c r="A60" s="397"/>
      <c r="B60" s="397"/>
      <c r="C60" s="397"/>
      <c r="D60" s="397"/>
      <c r="E60" s="397"/>
      <c r="F60" s="397"/>
    </row>
    <row r="61" spans="1:7">
      <c r="A61" s="397"/>
      <c r="B61" s="397"/>
      <c r="C61" s="397"/>
      <c r="D61" s="397"/>
      <c r="E61" s="397"/>
      <c r="F61" s="397"/>
    </row>
    <row r="62" spans="1:7">
      <c r="A62" s="192"/>
      <c r="B62" s="397"/>
      <c r="C62" s="397"/>
      <c r="D62" s="397"/>
      <c r="E62" s="397"/>
      <c r="F62" s="397"/>
    </row>
    <row r="63" spans="1:7">
      <c r="A63" s="192"/>
      <c r="B63" s="397"/>
      <c r="C63" s="397"/>
      <c r="D63" s="397"/>
      <c r="E63" s="772"/>
      <c r="F63" s="397"/>
    </row>
    <row r="64" spans="1:7">
      <c r="A64" s="192"/>
      <c r="B64" s="397"/>
      <c r="C64" s="397"/>
      <c r="D64" s="773"/>
      <c r="E64" s="397"/>
      <c r="F64" s="397"/>
    </row>
    <row r="65" spans="1:6">
      <c r="A65" s="192"/>
      <c r="B65" s="397"/>
      <c r="C65" s="397"/>
      <c r="D65" s="397"/>
      <c r="E65" s="397"/>
      <c r="F65" s="397"/>
    </row>
    <row r="66" spans="1:6">
      <c r="A66" s="192"/>
      <c r="B66" s="397"/>
      <c r="C66" s="397"/>
      <c r="D66" s="397"/>
      <c r="E66" s="772"/>
      <c r="F66" s="397"/>
    </row>
    <row r="67" spans="1:6">
      <c r="A67" s="192"/>
      <c r="B67" s="397"/>
      <c r="C67" s="397"/>
      <c r="D67" s="773"/>
      <c r="E67" s="397"/>
      <c r="F67" s="397"/>
    </row>
    <row r="68" spans="1:6">
      <c r="A68" s="192"/>
      <c r="B68" s="397"/>
      <c r="C68" s="397"/>
      <c r="D68" s="397"/>
      <c r="E68" s="397"/>
      <c r="F68" s="397"/>
    </row>
    <row r="69" spans="1:6">
      <c r="A69" s="192"/>
      <c r="B69" s="397"/>
      <c r="C69" s="397"/>
      <c r="D69" s="397"/>
      <c r="E69" s="772"/>
      <c r="F69" s="397"/>
    </row>
    <row r="70" spans="1:6">
      <c r="A70" s="192"/>
      <c r="B70" s="397"/>
      <c r="C70" s="397"/>
      <c r="D70" s="773"/>
      <c r="E70" s="397"/>
      <c r="F70" s="397"/>
    </row>
    <row r="71" spans="1:6">
      <c r="A71" s="192"/>
      <c r="B71" s="397"/>
      <c r="C71" s="397"/>
      <c r="D71" s="397"/>
      <c r="E71" s="397"/>
      <c r="F71" s="397"/>
    </row>
    <row r="72" spans="1:6">
      <c r="A72" s="192"/>
      <c r="B72" s="397"/>
      <c r="C72" s="397"/>
      <c r="D72" s="397"/>
      <c r="E72" s="772"/>
      <c r="F72" s="397"/>
    </row>
    <row r="73" spans="1:6">
      <c r="A73" s="397"/>
      <c r="B73" s="397"/>
      <c r="C73" s="397"/>
      <c r="D73" s="773"/>
      <c r="E73" s="397"/>
      <c r="F73" s="397"/>
    </row>
    <row r="74" spans="1:6">
      <c r="A74" s="397"/>
      <c r="B74" s="397"/>
      <c r="C74" s="397"/>
      <c r="D74" s="397"/>
      <c r="E74" s="397"/>
      <c r="F74" s="397"/>
    </row>
    <row r="75" spans="1:6">
      <c r="A75" s="397"/>
      <c r="B75" s="397"/>
      <c r="C75" s="397"/>
      <c r="D75" s="397"/>
      <c r="E75" s="397"/>
      <c r="F75" s="397"/>
    </row>
  </sheetData>
  <mergeCells count="1">
    <mergeCell ref="B2:G2"/>
  </mergeCells>
  <phoneticPr fontId="0" type="noConversion"/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1"/>
  <dimension ref="A1:S49"/>
  <sheetViews>
    <sheetView zoomScale="70" zoomScaleNormal="70" workbookViewId="0">
      <selection activeCell="A11" sqref="A11:J13"/>
    </sheetView>
  </sheetViews>
  <sheetFormatPr baseColWidth="10" defaultColWidth="11" defaultRowHeight="13"/>
  <cols>
    <col min="1" max="1" width="31.1640625" style="1" customWidth="1"/>
    <col min="2" max="2" width="11.1640625" style="1" customWidth="1"/>
    <col min="3" max="3" width="21.83203125" style="1" customWidth="1"/>
    <col min="4" max="4" width="20.6640625" style="1" customWidth="1"/>
    <col min="5" max="5" width="21.1640625" style="1" customWidth="1"/>
    <col min="6" max="6" width="18.5" style="1" customWidth="1"/>
    <col min="7" max="7" width="17" style="1" customWidth="1"/>
    <col min="8" max="8" width="19.1640625" style="1" customWidth="1"/>
    <col min="9" max="9" width="19.5" style="1" customWidth="1"/>
    <col min="10" max="10" width="18.5" style="1" customWidth="1"/>
    <col min="11" max="11" width="14.83203125" style="1" customWidth="1"/>
    <col min="12" max="14" width="11" style="1"/>
    <col min="15" max="15" width="12.6640625" style="1" customWidth="1"/>
    <col min="16" max="16384" width="11" style="1"/>
  </cols>
  <sheetData>
    <row r="1" spans="1:11" ht="14" thickBot="1">
      <c r="A1" s="132" t="s">
        <v>356</v>
      </c>
      <c r="B1" s="8"/>
      <c r="C1" s="5"/>
      <c r="D1" s="5"/>
      <c r="E1" s="5"/>
      <c r="F1" s="5"/>
    </row>
    <row r="2" spans="1:11" ht="18" customHeight="1">
      <c r="A2" s="1338" t="s">
        <v>265</v>
      </c>
      <c r="B2" s="1339"/>
      <c r="C2" s="1339"/>
      <c r="D2" s="1339"/>
      <c r="E2" s="1339"/>
      <c r="F2" s="1339"/>
      <c r="G2" s="1339"/>
      <c r="H2" s="1339"/>
      <c r="I2" s="1339"/>
      <c r="J2" s="1340"/>
    </row>
    <row r="3" spans="1:11" ht="18" customHeight="1">
      <c r="A3" s="1341"/>
      <c r="B3" s="1342"/>
      <c r="C3" s="1342"/>
      <c r="D3" s="1342"/>
      <c r="E3" s="1342"/>
      <c r="F3" s="1342"/>
      <c r="G3" s="1342"/>
      <c r="H3" s="1342"/>
      <c r="I3" s="1342"/>
      <c r="J3" s="1343"/>
    </row>
    <row r="4" spans="1:11" ht="6" customHeight="1" thickBot="1">
      <c r="A4" s="164"/>
      <c r="B4" s="61"/>
      <c r="C4" s="61"/>
      <c r="D4" s="61"/>
      <c r="E4" s="62"/>
      <c r="F4" s="60"/>
      <c r="G4" s="61"/>
      <c r="H4" s="61"/>
      <c r="I4" s="61"/>
      <c r="J4" s="165"/>
    </row>
    <row r="5" spans="1:11" ht="29.25" customHeight="1" thickBot="1">
      <c r="A5" s="141"/>
      <c r="B5" s="142"/>
      <c r="C5" s="150" t="s">
        <v>240</v>
      </c>
      <c r="D5" s="142"/>
      <c r="E5" s="143"/>
      <c r="F5" s="1347" t="s">
        <v>397</v>
      </c>
      <c r="G5" s="1348"/>
      <c r="H5" s="142"/>
      <c r="I5" s="150" t="s">
        <v>240</v>
      </c>
      <c r="J5" s="143"/>
    </row>
    <row r="6" spans="1:11" ht="8.25" customHeight="1">
      <c r="A6" s="144"/>
      <c r="B6" s="63"/>
      <c r="C6" s="63"/>
      <c r="D6" s="63"/>
      <c r="E6" s="145"/>
      <c r="F6" s="1349"/>
      <c r="G6" s="1350"/>
      <c r="H6" s="63"/>
      <c r="I6" s="63"/>
      <c r="J6" s="145"/>
    </row>
    <row r="7" spans="1:11" ht="24" customHeight="1">
      <c r="A7" s="144" t="s">
        <v>242</v>
      </c>
      <c r="B7" s="63"/>
      <c r="C7" s="63" t="s">
        <v>241</v>
      </c>
      <c r="D7" s="63"/>
      <c r="E7" s="145"/>
      <c r="F7" s="1349"/>
      <c r="G7" s="1350"/>
      <c r="H7" s="63"/>
      <c r="I7" s="63" t="s">
        <v>243</v>
      </c>
      <c r="J7" s="145"/>
    </row>
    <row r="8" spans="1:11" ht="18" customHeight="1">
      <c r="A8" s="144"/>
      <c r="B8" s="63"/>
      <c r="C8" s="63"/>
      <c r="D8" s="63"/>
      <c r="E8" s="145"/>
      <c r="F8" s="144"/>
      <c r="G8" s="63"/>
      <c r="H8" s="63"/>
      <c r="I8" s="63"/>
      <c r="J8" s="145"/>
    </row>
    <row r="9" spans="1:11" ht="14" thickBot="1">
      <c r="A9" s="146"/>
      <c r="B9" s="147"/>
      <c r="C9" s="148"/>
      <c r="D9" s="147"/>
      <c r="E9" s="149"/>
      <c r="F9" s="151"/>
      <c r="G9" s="3"/>
      <c r="H9" s="3"/>
      <c r="I9" s="3"/>
      <c r="J9" s="152"/>
    </row>
    <row r="10" spans="1:11" ht="14" thickBot="1">
      <c r="A10" s="166"/>
      <c r="B10" s="167"/>
      <c r="C10" s="4"/>
      <c r="D10" s="4"/>
      <c r="E10" s="4"/>
      <c r="F10" s="4"/>
      <c r="G10" s="4"/>
      <c r="H10" s="4"/>
      <c r="I10" s="4"/>
      <c r="J10" s="168"/>
    </row>
    <row r="11" spans="1:11" s="7" customFormat="1" ht="16">
      <c r="A11" s="655" t="s">
        <v>23</v>
      </c>
      <c r="B11" s="656" t="s">
        <v>244</v>
      </c>
      <c r="C11" s="657" t="s">
        <v>24</v>
      </c>
      <c r="D11" s="657" t="s">
        <v>25</v>
      </c>
      <c r="E11" s="657" t="s">
        <v>26</v>
      </c>
      <c r="F11" s="657" t="s">
        <v>27</v>
      </c>
      <c r="G11" s="656" t="s">
        <v>77</v>
      </c>
      <c r="H11" s="658" t="s">
        <v>78</v>
      </c>
      <c r="I11" s="657" t="s">
        <v>80</v>
      </c>
      <c r="J11" s="659" t="s">
        <v>76</v>
      </c>
      <c r="K11" s="40"/>
    </row>
    <row r="12" spans="1:11" s="7" customFormat="1" ht="17" thickBot="1">
      <c r="A12" s="660"/>
      <c r="B12" s="661"/>
      <c r="C12" s="662"/>
      <c r="D12" s="662"/>
      <c r="E12" s="662"/>
      <c r="F12" s="662"/>
      <c r="G12" s="661"/>
      <c r="H12" s="662" t="s">
        <v>79</v>
      </c>
      <c r="I12" s="662"/>
      <c r="J12" s="663" t="s">
        <v>438</v>
      </c>
      <c r="K12" s="40"/>
    </row>
    <row r="13" spans="1:11" s="6" customFormat="1" ht="16">
      <c r="A13" s="183">
        <v>1</v>
      </c>
      <c r="B13" s="1074">
        <f>Pres.Ventas!C86</f>
        <v>41</v>
      </c>
      <c r="C13" s="1075">
        <f>'Edo.Result Proy'!B11</f>
        <v>1236512.5508173518</v>
      </c>
      <c r="D13" s="1076" t="e">
        <f>'Edo.Result Proy'!$B$8</f>
        <v>#REF!</v>
      </c>
      <c r="E13" s="1076" t="e">
        <f>C13+D13</f>
        <v>#REF!</v>
      </c>
      <c r="F13" s="1076">
        <f>'Edo.Result Proy'!B7</f>
        <v>1155000</v>
      </c>
      <c r="G13" s="1077" t="e">
        <f>C13/(1-(J13/$C$22))</f>
        <v>#REF!</v>
      </c>
      <c r="H13" s="1078" t="e">
        <f>G13/F13</f>
        <v>#REF!</v>
      </c>
      <c r="I13" s="1079" t="e">
        <f>C13/($C$22-J13)</f>
        <v>#REF!</v>
      </c>
      <c r="J13" s="1116" t="e">
        <f>D13/B13</f>
        <v>#REF!</v>
      </c>
      <c r="K13" s="40"/>
    </row>
    <row r="14" spans="1:11" s="6" customFormat="1" ht="16">
      <c r="A14" s="169">
        <v>2</v>
      </c>
      <c r="B14" s="1080">
        <f>Pres.Ventas!D86</f>
        <v>45.100000000000009</v>
      </c>
      <c r="C14" s="1081">
        <f>'Edo.Result Proy'!C11</f>
        <v>1441773.634253032</v>
      </c>
      <c r="D14" s="1082" t="e">
        <f>'Edo.Result Proy'!$C$8</f>
        <v>#REF!</v>
      </c>
      <c r="E14" s="1082" t="e">
        <f>C14+D14</f>
        <v>#REF!</v>
      </c>
      <c r="F14" s="1082">
        <f>'Edo.Result Proy'!C7</f>
        <v>1346730.0000000002</v>
      </c>
      <c r="G14" s="1083" t="e">
        <f>C14/(1-(J14/$C$22))</f>
        <v>#REF!</v>
      </c>
      <c r="H14" s="1084" t="e">
        <f>G14/F14</f>
        <v>#REF!</v>
      </c>
      <c r="I14" s="1079" t="e">
        <f>C14/($C$22-J14)</f>
        <v>#REF!</v>
      </c>
      <c r="J14" s="1116" t="e">
        <f>D14/B14</f>
        <v>#REF!</v>
      </c>
      <c r="K14" s="40"/>
    </row>
    <row r="15" spans="1:11" s="6" customFormat="1" ht="16">
      <c r="A15" s="169">
        <v>3</v>
      </c>
      <c r="B15" s="1080">
        <f>Pres.Ventas!E86</f>
        <v>54.120000000000012</v>
      </c>
      <c r="C15" s="1081">
        <f>'Edo.Result Proy'!D11</f>
        <v>1833936.0627698572</v>
      </c>
      <c r="D15" s="1082" t="e">
        <f>'Edo.Result Proy'!$D$8</f>
        <v>#REF!</v>
      </c>
      <c r="E15" s="1082" t="e">
        <f>C15+D15</f>
        <v>#REF!</v>
      </c>
      <c r="F15" s="1082">
        <f>'Edo.Result Proy'!D7</f>
        <v>1713040.5600000005</v>
      </c>
      <c r="G15" s="1083" t="e">
        <f>C15/(1-(J15/$C$22))</f>
        <v>#REF!</v>
      </c>
      <c r="H15" s="1084" t="e">
        <f>G15/F15</f>
        <v>#REF!</v>
      </c>
      <c r="I15" s="1079" t="e">
        <f>C15/($C$22-J15)</f>
        <v>#REF!</v>
      </c>
      <c r="J15" s="1116" t="e">
        <f>D15/B15</f>
        <v>#REF!</v>
      </c>
      <c r="K15" s="42"/>
    </row>
    <row r="16" spans="1:11" s="6" customFormat="1" ht="16">
      <c r="A16" s="169">
        <v>4</v>
      </c>
      <c r="B16" s="1080">
        <f>Pres.Ventas!F86</f>
        <v>73.062000000000012</v>
      </c>
      <c r="C16" s="1081">
        <f>'Edo.Result Proy'!E11</f>
        <v>2723395.0532132396</v>
      </c>
      <c r="D16" s="1082" t="e">
        <f>'Edo.Result Proy'!$E$8</f>
        <v>#REF!</v>
      </c>
      <c r="E16" s="1082" t="e">
        <f>C16+D16</f>
        <v>#REF!</v>
      </c>
      <c r="F16" s="1082">
        <f>'Edo.Result Proy'!E7</f>
        <v>2543865.2316000015</v>
      </c>
      <c r="G16" s="1083" t="e">
        <f>C16/(1-(J16/$C$22))</f>
        <v>#REF!</v>
      </c>
      <c r="H16" s="1084" t="e">
        <f>G16/F16</f>
        <v>#REF!</v>
      </c>
      <c r="I16" s="1079" t="e">
        <f>C16/($C$22-J16)</f>
        <v>#REF!</v>
      </c>
      <c r="J16" s="1116" t="e">
        <f>D16/B16</f>
        <v>#REF!</v>
      </c>
      <c r="K16" s="42"/>
    </row>
    <row r="17" spans="1:11" ht="17" thickBot="1">
      <c r="A17" s="170">
        <v>5</v>
      </c>
      <c r="B17" s="1080">
        <f>Pres.Ventas!G86</f>
        <v>98.633700000000019</v>
      </c>
      <c r="C17" s="1085">
        <f>'Edo.Result Proy'!F11</f>
        <v>4228070.8201135546</v>
      </c>
      <c r="D17" s="1086" t="e">
        <f>'Edo.Result Proy'!$F$8</f>
        <v>#REF!</v>
      </c>
      <c r="E17" s="1086" t="e">
        <f>C17+D17</f>
        <v>#REF!</v>
      </c>
      <c r="F17" s="1086">
        <f>'Edo.Result Proy'!F7</f>
        <v>3949350.7720590024</v>
      </c>
      <c r="G17" s="1083" t="e">
        <f>C17/(1-(J17/$C$22))</f>
        <v>#REF!</v>
      </c>
      <c r="H17" s="1087" t="e">
        <f>G17/F17</f>
        <v>#REF!</v>
      </c>
      <c r="I17" s="1079" t="e">
        <f>C17/($C$22-J17)</f>
        <v>#REF!</v>
      </c>
      <c r="J17" s="1116" t="e">
        <f>D17/B17</f>
        <v>#REF!</v>
      </c>
      <c r="K17" s="40"/>
    </row>
    <row r="18" spans="1:11" ht="16">
      <c r="A18" s="153"/>
      <c r="B18" s="1088"/>
      <c r="C18" s="1089"/>
      <c r="D18" s="1090"/>
      <c r="E18" s="1090"/>
      <c r="F18" s="1090"/>
      <c r="G18" s="1091"/>
      <c r="H18" s="1092"/>
      <c r="I18" s="1093"/>
      <c r="J18" s="1090"/>
      <c r="K18" s="40"/>
    </row>
    <row r="19" spans="1:11" ht="25.5" customHeight="1" thickBot="1">
      <c r="A19" s="41"/>
      <c r="B19" s="41"/>
      <c r="C19" s="133"/>
      <c r="D19" s="133"/>
      <c r="E19" s="40"/>
      <c r="F19" s="40"/>
      <c r="G19" s="133" t="s">
        <v>410</v>
      </c>
      <c r="H19" s="40"/>
      <c r="I19" s="40"/>
      <c r="J19" s="40"/>
      <c r="K19" s="40"/>
    </row>
    <row r="20" spans="1:11" s="6" customFormat="1" ht="36.75" customHeight="1" thickBot="1">
      <c r="A20" s="1326" t="s">
        <v>69</v>
      </c>
      <c r="B20" s="1327"/>
      <c r="C20" s="1328"/>
      <c r="D20" s="40"/>
      <c r="E20" s="1344" t="s">
        <v>323</v>
      </c>
      <c r="F20" s="1345"/>
      <c r="G20" s="1345"/>
      <c r="H20" s="1345"/>
      <c r="I20" s="1345"/>
      <c r="J20" s="1346"/>
      <c r="K20" s="40"/>
    </row>
    <row r="21" spans="1:11" s="6" customFormat="1" ht="17" thickBot="1">
      <c r="A21" s="1323" t="s">
        <v>399</v>
      </c>
      <c r="B21" s="1324"/>
      <c r="C21" s="1325"/>
      <c r="D21" s="173">
        <f>C23/13</f>
        <v>3.1538461538461537</v>
      </c>
      <c r="E21" s="665" t="s">
        <v>66</v>
      </c>
      <c r="F21" s="666" t="s">
        <v>67</v>
      </c>
      <c r="G21" s="666" t="s">
        <v>24</v>
      </c>
      <c r="H21" s="666" t="s">
        <v>312</v>
      </c>
      <c r="I21" s="666" t="s">
        <v>68</v>
      </c>
      <c r="J21" s="667" t="s">
        <v>65</v>
      </c>
      <c r="K21" s="668" t="s">
        <v>311</v>
      </c>
    </row>
    <row r="22" spans="1:11" s="6" customFormat="1" ht="19.5" customHeight="1" thickBot="1">
      <c r="A22" s="1330" t="s">
        <v>430</v>
      </c>
      <c r="B22" s="1331"/>
      <c r="C22" s="670">
        <f>'Concent, Vtas, CdeV, Gastos A1'!B89</f>
        <v>37707.317073170721</v>
      </c>
      <c r="D22" s="40"/>
      <c r="E22" s="692">
        <v>0</v>
      </c>
      <c r="F22" s="697">
        <f>E22*$C$22</f>
        <v>0</v>
      </c>
      <c r="G22" s="698">
        <f>$C$33</f>
        <v>1236512.550817352</v>
      </c>
      <c r="H22" s="698">
        <f>E22*$C$24</f>
        <v>0</v>
      </c>
      <c r="I22" s="698">
        <f t="shared" ref="I22:I38" si="0">G22+H22</f>
        <v>1236512.550817352</v>
      </c>
      <c r="J22" s="699">
        <f>F22-I22</f>
        <v>-1236512.550817352</v>
      </c>
      <c r="K22" s="692" t="s">
        <v>310</v>
      </c>
    </row>
    <row r="23" spans="1:11" s="6" customFormat="1" ht="20.25" customHeight="1" thickBot="1">
      <c r="A23" s="1332" t="s">
        <v>398</v>
      </c>
      <c r="B23" s="1333"/>
      <c r="C23" s="176">
        <f>'Concent, Vtas, CdeV, Gastos A1'!E23</f>
        <v>41</v>
      </c>
      <c r="D23" s="40"/>
      <c r="E23" s="1094">
        <f>E22+$D$21</f>
        <v>3.1538461538461537</v>
      </c>
      <c r="F23" s="1095">
        <f t="shared" ref="F23:F38" si="1">E23*$C$22</f>
        <v>118923.07692307689</v>
      </c>
      <c r="G23" s="1076">
        <f t="shared" ref="G23:G38" si="2">$C$33</f>
        <v>1236512.550817352</v>
      </c>
      <c r="H23" s="1076">
        <f>E23*$C$27</f>
        <v>126425.8883516964</v>
      </c>
      <c r="I23" s="1096">
        <f t="shared" si="0"/>
        <v>1362938.4391690483</v>
      </c>
      <c r="J23" s="1097">
        <f>F23-I23</f>
        <v>-1244015.3622459713</v>
      </c>
      <c r="K23" s="162"/>
    </row>
    <row r="24" spans="1:11" s="6" customFormat="1" ht="17" thickBot="1">
      <c r="A24" s="1330" t="s">
        <v>434</v>
      </c>
      <c r="B24" s="1331"/>
      <c r="C24" s="670">
        <f>C23*C22</f>
        <v>1545999.9999999995</v>
      </c>
      <c r="D24" s="40"/>
      <c r="E24" s="1094">
        <f t="shared" ref="E24:E38" si="3">E23+$D$21</f>
        <v>6.3076923076923075</v>
      </c>
      <c r="F24" s="1095">
        <f t="shared" si="1"/>
        <v>237846.15384615379</v>
      </c>
      <c r="G24" s="1082">
        <f t="shared" si="2"/>
        <v>1236512.550817352</v>
      </c>
      <c r="H24" s="1076">
        <f t="shared" ref="H24:H38" si="4">E24*$C$27</f>
        <v>252851.7767033928</v>
      </c>
      <c r="I24" s="1096">
        <f t="shared" si="0"/>
        <v>1489364.3275207449</v>
      </c>
      <c r="J24" s="1098">
        <f>F24-I24</f>
        <v>-1251518.1736745911</v>
      </c>
      <c r="K24" s="134"/>
    </row>
    <row r="25" spans="1:11" s="6" customFormat="1" ht="17" thickBot="1">
      <c r="A25" s="1334"/>
      <c r="B25" s="1335"/>
      <c r="C25" s="174"/>
      <c r="D25" s="40"/>
      <c r="E25" s="1094">
        <f t="shared" si="3"/>
        <v>9.4615384615384617</v>
      </c>
      <c r="F25" s="1095">
        <f t="shared" si="1"/>
        <v>356769.23076923069</v>
      </c>
      <c r="G25" s="1082">
        <f t="shared" si="2"/>
        <v>1236512.550817352</v>
      </c>
      <c r="H25" s="1076">
        <f t="shared" si="4"/>
        <v>379277.66505508916</v>
      </c>
      <c r="I25" s="1096">
        <f t="shared" si="0"/>
        <v>1615790.2158724412</v>
      </c>
      <c r="J25" s="1098">
        <f t="shared" ref="J25:J38" si="5">F25-I25</f>
        <v>-1259020.9851032104</v>
      </c>
      <c r="K25" s="163"/>
    </row>
    <row r="26" spans="1:11" s="6" customFormat="1" ht="17" thickBot="1">
      <c r="A26" s="1336" t="s">
        <v>431</v>
      </c>
      <c r="B26" s="1337"/>
      <c r="C26" s="175"/>
      <c r="D26" s="40"/>
      <c r="E26" s="1094">
        <f t="shared" si="3"/>
        <v>12.615384615384615</v>
      </c>
      <c r="F26" s="1095">
        <f t="shared" si="1"/>
        <v>475692.30769230757</v>
      </c>
      <c r="G26" s="1082">
        <f t="shared" si="2"/>
        <v>1236512.550817352</v>
      </c>
      <c r="H26" s="1076">
        <f t="shared" si="4"/>
        <v>505703.55340678559</v>
      </c>
      <c r="I26" s="1096">
        <f t="shared" si="0"/>
        <v>1742216.1042241375</v>
      </c>
      <c r="J26" s="1098">
        <f t="shared" si="5"/>
        <v>-1266523.79653183</v>
      </c>
    </row>
    <row r="27" spans="1:11" s="6" customFormat="1" ht="18.75" customHeight="1" thickBot="1">
      <c r="A27" s="664" t="s">
        <v>433</v>
      </c>
      <c r="B27" s="664"/>
      <c r="C27" s="671">
        <f>'Concent, Vtas, CdeV, Gastos A1'!B111</f>
        <v>40086.257282245198</v>
      </c>
      <c r="D27" s="40"/>
      <c r="E27" s="1094">
        <f t="shared" si="3"/>
        <v>15.769230769230768</v>
      </c>
      <c r="F27" s="1095">
        <f t="shared" si="1"/>
        <v>594615.38461538439</v>
      </c>
      <c r="G27" s="1082">
        <f t="shared" si="2"/>
        <v>1236512.550817352</v>
      </c>
      <c r="H27" s="1076">
        <f t="shared" si="4"/>
        <v>632129.4417584819</v>
      </c>
      <c r="I27" s="1096">
        <f t="shared" si="0"/>
        <v>1868641.992575834</v>
      </c>
      <c r="J27" s="1098">
        <f t="shared" si="5"/>
        <v>-1274026.6079604495</v>
      </c>
      <c r="K27" s="161"/>
    </row>
    <row r="28" spans="1:11" s="6" customFormat="1" ht="17.25" customHeight="1" thickBot="1">
      <c r="A28" s="1334" t="s">
        <v>432</v>
      </c>
      <c r="B28" s="1335"/>
      <c r="C28" s="672" t="e">
        <f>D13</f>
        <v>#REF!</v>
      </c>
      <c r="D28" s="40"/>
      <c r="E28" s="1094">
        <f t="shared" si="3"/>
        <v>18.923076923076923</v>
      </c>
      <c r="F28" s="1095">
        <f t="shared" si="1"/>
        <v>713538.46153846139</v>
      </c>
      <c r="G28" s="1082">
        <f t="shared" si="2"/>
        <v>1236512.550817352</v>
      </c>
      <c r="H28" s="1076">
        <f t="shared" si="4"/>
        <v>758555.33011017833</v>
      </c>
      <c r="I28" s="1096">
        <f t="shared" si="0"/>
        <v>1995067.8809275304</v>
      </c>
      <c r="J28" s="1098">
        <f t="shared" si="5"/>
        <v>-1281529.4193890691</v>
      </c>
      <c r="K28" s="161"/>
    </row>
    <row r="29" spans="1:11" s="6" customFormat="1" ht="17" thickBot="1">
      <c r="A29" s="1354" t="s">
        <v>331</v>
      </c>
      <c r="B29" s="1355"/>
      <c r="C29" s="671">
        <f>'Concent, Vtas, CdeV, Gastos A1'!E60</f>
        <v>1236512.550817352</v>
      </c>
      <c r="D29" s="40"/>
      <c r="E29" s="1094">
        <f t="shared" si="3"/>
        <v>22.076923076923077</v>
      </c>
      <c r="F29" s="1095">
        <f t="shared" si="1"/>
        <v>832461.53846153826</v>
      </c>
      <c r="G29" s="1082">
        <f t="shared" si="2"/>
        <v>1236512.550817352</v>
      </c>
      <c r="H29" s="1076">
        <f t="shared" si="4"/>
        <v>884981.21846187476</v>
      </c>
      <c r="I29" s="1096">
        <f t="shared" si="0"/>
        <v>2121493.7692792267</v>
      </c>
      <c r="J29" s="1098">
        <f t="shared" si="5"/>
        <v>-1289032.2308176884</v>
      </c>
      <c r="K29" s="669" t="s">
        <v>307</v>
      </c>
    </row>
    <row r="30" spans="1:11" s="6" customFormat="1" ht="17" thickBot="1">
      <c r="A30" s="177" t="s">
        <v>379</v>
      </c>
      <c r="B30" s="178"/>
      <c r="C30" s="673" t="e">
        <f>SUM(C28:C29)</f>
        <v>#REF!</v>
      </c>
      <c r="D30" s="40"/>
      <c r="E30" s="1094">
        <f t="shared" si="3"/>
        <v>25.23076923076923</v>
      </c>
      <c r="F30" s="1095">
        <f t="shared" si="1"/>
        <v>951384.61538461514</v>
      </c>
      <c r="G30" s="1082">
        <f t="shared" si="2"/>
        <v>1236512.550817352</v>
      </c>
      <c r="H30" s="1076">
        <f t="shared" si="4"/>
        <v>1011407.1068135712</v>
      </c>
      <c r="I30" s="1096">
        <f t="shared" si="0"/>
        <v>2247919.6576309232</v>
      </c>
      <c r="J30" s="1098">
        <f t="shared" si="5"/>
        <v>-1296535.0422463082</v>
      </c>
      <c r="K30" s="134"/>
    </row>
    <row r="31" spans="1:11" s="6" customFormat="1" ht="17" thickBot="1">
      <c r="A31" s="1351" t="s">
        <v>400</v>
      </c>
      <c r="B31" s="1352"/>
      <c r="C31" s="1353"/>
      <c r="D31" s="102"/>
      <c r="E31" s="1094">
        <f t="shared" si="3"/>
        <v>28.384615384615383</v>
      </c>
      <c r="F31" s="1095">
        <f t="shared" si="1"/>
        <v>1070307.692307692</v>
      </c>
      <c r="G31" s="1082">
        <f t="shared" si="2"/>
        <v>1236512.550817352</v>
      </c>
      <c r="H31" s="1076">
        <f t="shared" si="4"/>
        <v>1137832.9951652675</v>
      </c>
      <c r="I31" s="1096">
        <f t="shared" si="0"/>
        <v>2374345.5459826197</v>
      </c>
      <c r="J31" s="1098">
        <f t="shared" si="5"/>
        <v>-1304037.8536749277</v>
      </c>
      <c r="K31" s="161"/>
    </row>
    <row r="32" spans="1:11" s="6" customFormat="1" ht="17" thickBot="1">
      <c r="A32" s="680" t="s">
        <v>436</v>
      </c>
      <c r="B32" s="674"/>
      <c r="C32" s="675" t="e">
        <f>C30/C23</f>
        <v>#REF!</v>
      </c>
      <c r="D32" s="40"/>
      <c r="E32" s="1094">
        <f t="shared" si="3"/>
        <v>31.538461538461537</v>
      </c>
      <c r="F32" s="1095">
        <f t="shared" si="1"/>
        <v>1189230.7692307688</v>
      </c>
      <c r="G32" s="1082">
        <f t="shared" si="2"/>
        <v>1236512.550817352</v>
      </c>
      <c r="H32" s="1076">
        <f t="shared" si="4"/>
        <v>1264258.8835169638</v>
      </c>
      <c r="I32" s="1096">
        <f t="shared" si="0"/>
        <v>2500771.4343343158</v>
      </c>
      <c r="J32" s="1098">
        <f t="shared" si="5"/>
        <v>-1311540.665103547</v>
      </c>
      <c r="K32" s="161"/>
    </row>
    <row r="33" spans="1:19" s="6" customFormat="1" ht="17" thickBot="1">
      <c r="A33" s="681" t="s">
        <v>435</v>
      </c>
      <c r="B33" s="676"/>
      <c r="C33" s="677">
        <f>'Concent, Vtas, CdeV, Gastos A1'!E60</f>
        <v>1236512.550817352</v>
      </c>
      <c r="D33" s="40"/>
      <c r="E33" s="1094">
        <f t="shared" si="3"/>
        <v>34.692307692307693</v>
      </c>
      <c r="F33" s="1095">
        <f t="shared" si="1"/>
        <v>1308153.8461538458</v>
      </c>
      <c r="G33" s="1082">
        <f t="shared" si="2"/>
        <v>1236512.550817352</v>
      </c>
      <c r="H33" s="1076">
        <f t="shared" si="4"/>
        <v>1390684.7718686603</v>
      </c>
      <c r="I33" s="1096">
        <f t="shared" si="0"/>
        <v>2627197.3226860124</v>
      </c>
      <c r="J33" s="1098">
        <f t="shared" si="5"/>
        <v>-1319043.4765321666</v>
      </c>
      <c r="K33" s="161"/>
    </row>
    <row r="34" spans="1:19" s="6" customFormat="1" ht="17" thickBot="1">
      <c r="A34" s="681" t="s">
        <v>25</v>
      </c>
      <c r="B34" s="676"/>
      <c r="C34" s="677" t="e">
        <f>D13</f>
        <v>#REF!</v>
      </c>
      <c r="D34" s="103"/>
      <c r="E34" s="1094">
        <f t="shared" si="3"/>
        <v>37.846153846153847</v>
      </c>
      <c r="F34" s="1099">
        <f t="shared" si="1"/>
        <v>1427076.9230769228</v>
      </c>
      <c r="G34" s="1100">
        <f t="shared" si="2"/>
        <v>1236512.550817352</v>
      </c>
      <c r="H34" s="1076">
        <f t="shared" si="4"/>
        <v>1517110.6602203567</v>
      </c>
      <c r="I34" s="1101">
        <f t="shared" si="0"/>
        <v>2753623.2110377084</v>
      </c>
      <c r="J34" s="1102">
        <f t="shared" si="5"/>
        <v>-1326546.2879607857</v>
      </c>
      <c r="K34" s="134"/>
    </row>
    <row r="35" spans="1:19" s="6" customFormat="1" ht="17" thickBot="1">
      <c r="A35" s="681" t="s">
        <v>72</v>
      </c>
      <c r="B35" s="676"/>
      <c r="C35" s="677">
        <f>C27</f>
        <v>40086.257282245198</v>
      </c>
      <c r="D35" s="44"/>
      <c r="E35" s="1094">
        <f t="shared" si="3"/>
        <v>41</v>
      </c>
      <c r="F35" s="687">
        <f t="shared" si="1"/>
        <v>1545999.9999999995</v>
      </c>
      <c r="G35" s="688">
        <f t="shared" si="2"/>
        <v>1236512.550817352</v>
      </c>
      <c r="H35" s="689">
        <f t="shared" si="4"/>
        <v>1643536.5485720532</v>
      </c>
      <c r="I35" s="690">
        <f t="shared" si="0"/>
        <v>2880049.099389405</v>
      </c>
      <c r="J35" s="691">
        <f t="shared" si="5"/>
        <v>-1334049.0993894055</v>
      </c>
      <c r="K35" s="692" t="s">
        <v>308</v>
      </c>
    </row>
    <row r="36" spans="1:19" s="6" customFormat="1" ht="17" thickBot="1">
      <c r="A36" s="682" t="s">
        <v>73</v>
      </c>
      <c r="B36" s="678"/>
      <c r="C36" s="679">
        <f>C22-C35</f>
        <v>-2378.940209074477</v>
      </c>
      <c r="D36" s="40"/>
      <c r="E36" s="1094">
        <f t="shared" si="3"/>
        <v>44.153846153846153</v>
      </c>
      <c r="F36" s="1095">
        <f t="shared" si="1"/>
        <v>1664923.0769230765</v>
      </c>
      <c r="G36" s="1082">
        <f t="shared" si="2"/>
        <v>1236512.550817352</v>
      </c>
      <c r="H36" s="1076">
        <f t="shared" si="4"/>
        <v>1769962.4369237495</v>
      </c>
      <c r="I36" s="1096">
        <f t="shared" si="0"/>
        <v>3006474.9877411015</v>
      </c>
      <c r="J36" s="1103">
        <f t="shared" si="5"/>
        <v>-1341551.910818025</v>
      </c>
    </row>
    <row r="37" spans="1:19" s="6" customFormat="1" ht="17" thickBot="1">
      <c r="A37" s="683" t="s">
        <v>74</v>
      </c>
      <c r="B37" s="684"/>
      <c r="C37" s="685">
        <f>C33/C36</f>
        <v>-519.77453914170269</v>
      </c>
      <c r="D37" s="45"/>
      <c r="E37" s="1094">
        <f t="shared" si="3"/>
        <v>47.307692307692307</v>
      </c>
      <c r="F37" s="1099">
        <f t="shared" si="1"/>
        <v>1783846.1538461533</v>
      </c>
      <c r="G37" s="1100">
        <f t="shared" si="2"/>
        <v>1236512.550817352</v>
      </c>
      <c r="H37" s="1076">
        <f t="shared" si="4"/>
        <v>1896388.3252754458</v>
      </c>
      <c r="I37" s="1101">
        <f t="shared" si="0"/>
        <v>3132900.8760927981</v>
      </c>
      <c r="J37" s="1104">
        <f t="shared" si="5"/>
        <v>-1349054.7222466448</v>
      </c>
      <c r="K37" s="163"/>
    </row>
    <row r="38" spans="1:19" s="6" customFormat="1" ht="17" thickBot="1">
      <c r="A38" s="683" t="s">
        <v>75</v>
      </c>
      <c r="B38" s="684"/>
      <c r="C38" s="686">
        <f>C37*C22</f>
        <v>-19599303.353977371</v>
      </c>
      <c r="D38" s="40"/>
      <c r="E38" s="1094">
        <f t="shared" si="3"/>
        <v>50.46153846153846</v>
      </c>
      <c r="F38" s="693">
        <f t="shared" si="1"/>
        <v>1902769.2307692303</v>
      </c>
      <c r="G38" s="694">
        <f t="shared" si="2"/>
        <v>1236512.550817352</v>
      </c>
      <c r="H38" s="689">
        <f t="shared" si="4"/>
        <v>2022814.2136271424</v>
      </c>
      <c r="I38" s="694">
        <f t="shared" si="0"/>
        <v>3259326.7644444946</v>
      </c>
      <c r="J38" s="695">
        <f t="shared" si="5"/>
        <v>-1356557.5336752643</v>
      </c>
      <c r="K38" s="696" t="s">
        <v>309</v>
      </c>
    </row>
    <row r="39" spans="1:19" s="6" customFormat="1" ht="16">
      <c r="A39" s="41"/>
      <c r="B39" s="41"/>
      <c r="C39" s="40"/>
      <c r="D39" s="40"/>
      <c r="E39" s="40"/>
      <c r="F39" s="40"/>
      <c r="G39" s="40"/>
      <c r="H39" s="93"/>
      <c r="I39" s="40"/>
      <c r="J39" s="40"/>
      <c r="K39" s="40"/>
    </row>
    <row r="40" spans="1:19" ht="19.5" customHeight="1">
      <c r="A40" s="1329"/>
      <c r="B40" s="1329"/>
      <c r="C40" s="1329"/>
      <c r="D40" s="46"/>
      <c r="E40" s="46"/>
      <c r="F40" s="46"/>
      <c r="G40" s="46"/>
      <c r="H40" s="43"/>
      <c r="I40" s="46"/>
      <c r="J40" s="46"/>
      <c r="K40" s="46"/>
      <c r="L40" s="35"/>
      <c r="M40" s="35"/>
      <c r="N40" s="35"/>
      <c r="O40" s="35"/>
      <c r="P40" s="35"/>
      <c r="Q40" s="35"/>
      <c r="R40" s="35"/>
      <c r="S40" s="35"/>
    </row>
    <row r="41" spans="1:19" ht="12" customHeight="1">
      <c r="A41" s="38"/>
      <c r="B41" s="38"/>
      <c r="C41" s="1322" t="s">
        <v>411</v>
      </c>
      <c r="D41" s="1322"/>
      <c r="E41" s="1322"/>
      <c r="F41" s="1322"/>
      <c r="G41" s="36"/>
      <c r="H41" s="37"/>
      <c r="I41" s="36"/>
      <c r="J41" s="36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4.25" customHeight="1">
      <c r="A42" s="39"/>
      <c r="B42" s="39"/>
      <c r="C42" s="1322"/>
      <c r="D42" s="1322"/>
      <c r="E42" s="1322"/>
      <c r="F42" s="1322"/>
      <c r="G42" s="9"/>
      <c r="H42" s="9"/>
      <c r="I42" s="9"/>
      <c r="J42" s="9"/>
      <c r="K42" s="35"/>
      <c r="L42" s="35"/>
      <c r="M42" s="35"/>
      <c r="N42" s="35"/>
      <c r="O42" s="35"/>
      <c r="P42" s="35"/>
      <c r="Q42" s="35"/>
      <c r="R42" s="35"/>
      <c r="S42" s="35"/>
    </row>
    <row r="48" spans="1:19" ht="18">
      <c r="A48" s="154" t="s">
        <v>362</v>
      </c>
    </row>
    <row r="49" spans="2:2">
      <c r="B49" s="6"/>
    </row>
  </sheetData>
  <mergeCells count="15">
    <mergeCell ref="A2:J3"/>
    <mergeCell ref="E20:J20"/>
    <mergeCell ref="F5:G7"/>
    <mergeCell ref="A31:C31"/>
    <mergeCell ref="A24:B24"/>
    <mergeCell ref="A29:B29"/>
    <mergeCell ref="C41:F42"/>
    <mergeCell ref="A21:C21"/>
    <mergeCell ref="A20:C20"/>
    <mergeCell ref="A40:C40"/>
    <mergeCell ref="A22:B22"/>
    <mergeCell ref="A23:B23"/>
    <mergeCell ref="A25:B25"/>
    <mergeCell ref="A26:B26"/>
    <mergeCell ref="A28:B28"/>
  </mergeCells>
  <phoneticPr fontId="0" type="noConversion"/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R48"/>
  <sheetViews>
    <sheetView topLeftCell="A5" zoomScale="80" zoomScaleNormal="80" workbookViewId="0">
      <selection activeCell="O18" sqref="O18"/>
    </sheetView>
  </sheetViews>
  <sheetFormatPr baseColWidth="10" defaultColWidth="9" defaultRowHeight="13"/>
  <cols>
    <col min="1" max="1" width="28.1640625" customWidth="1"/>
    <col min="2" max="2" width="14.5" customWidth="1"/>
    <col min="3" max="5" width="15.5" bestFit="1" customWidth="1"/>
    <col min="6" max="6" width="15.6640625" customWidth="1"/>
    <col min="7" max="7" width="15.83203125" customWidth="1"/>
    <col min="8" max="8" width="7.6640625" customWidth="1"/>
    <col min="9" max="9" width="8.1640625" customWidth="1"/>
    <col min="10" max="10" width="16" customWidth="1"/>
    <col min="11" max="11" width="14.83203125" customWidth="1"/>
    <col min="12" max="12" width="49.83203125" customWidth="1"/>
    <col min="13" max="13" width="16.1640625" customWidth="1"/>
    <col min="14" max="14" width="14.33203125" customWidth="1"/>
    <col min="15" max="16" width="11" customWidth="1"/>
    <col min="17" max="17" width="16.1640625" customWidth="1"/>
    <col min="18" max="18" width="15" bestFit="1" customWidth="1"/>
    <col min="19" max="256" width="11" customWidth="1"/>
  </cols>
  <sheetData>
    <row r="1" spans="1:18" ht="20.25" customHeight="1" thickBot="1">
      <c r="J1" s="137"/>
      <c r="K1" s="137"/>
      <c r="L1" s="135" t="s">
        <v>367</v>
      </c>
    </row>
    <row r="2" spans="1:18" ht="19" thickBot="1">
      <c r="A2" s="1356" t="s">
        <v>414</v>
      </c>
      <c r="B2" s="1357"/>
      <c r="C2" s="1357"/>
      <c r="D2" s="1357"/>
      <c r="E2" s="1357"/>
      <c r="F2" s="1357"/>
      <c r="G2" s="1358"/>
      <c r="H2" s="30"/>
      <c r="I2" s="10"/>
      <c r="J2" s="138"/>
      <c r="K2" s="140" t="s">
        <v>31</v>
      </c>
      <c r="L2" s="136" t="s">
        <v>368</v>
      </c>
      <c r="Q2" s="10"/>
    </row>
    <row r="3" spans="1:18" ht="14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8" ht="15.75" customHeight="1" thickTop="1" thickBot="1">
      <c r="A4" s="1359" t="s">
        <v>1</v>
      </c>
      <c r="B4" s="1361" t="s">
        <v>167</v>
      </c>
      <c r="C4" s="700" t="s">
        <v>20</v>
      </c>
      <c r="D4" s="701" t="s">
        <v>20</v>
      </c>
      <c r="E4" s="701" t="s">
        <v>20</v>
      </c>
      <c r="F4" s="701" t="s">
        <v>20</v>
      </c>
      <c r="G4" s="701" t="s">
        <v>20</v>
      </c>
      <c r="H4" s="24"/>
      <c r="I4" s="1363" t="s">
        <v>401</v>
      </c>
      <c r="J4" s="1363"/>
      <c r="K4" s="1363"/>
      <c r="L4" s="1363"/>
      <c r="M4" s="1363"/>
      <c r="N4" s="1363"/>
      <c r="O4" s="1363"/>
      <c r="P4" s="1364"/>
      <c r="Q4" s="1365"/>
    </row>
    <row r="5" spans="1:18" ht="14.25" customHeight="1" thickBot="1">
      <c r="A5" s="1360"/>
      <c r="B5" s="1362"/>
      <c r="C5" s="702"/>
      <c r="D5" s="703"/>
      <c r="E5" s="703"/>
      <c r="F5" s="703"/>
      <c r="G5" s="703"/>
      <c r="H5" s="24"/>
      <c r="I5" s="706"/>
      <c r="J5" s="707" t="s">
        <v>252</v>
      </c>
      <c r="K5" s="1377" t="s">
        <v>253</v>
      </c>
      <c r="L5" s="1378"/>
      <c r="M5" s="1378"/>
      <c r="N5" s="1379"/>
      <c r="O5" s="1372" t="s">
        <v>254</v>
      </c>
      <c r="P5" s="1373"/>
      <c r="Q5" s="708" t="s">
        <v>255</v>
      </c>
    </row>
    <row r="6" spans="1:18" ht="12.75" customHeight="1" thickBot="1">
      <c r="A6" s="1360"/>
      <c r="B6" s="1362" t="s">
        <v>8</v>
      </c>
      <c r="C6" s="702">
        <v>1</v>
      </c>
      <c r="D6" s="703">
        <v>2</v>
      </c>
      <c r="E6" s="703">
        <v>3</v>
      </c>
      <c r="F6" s="703">
        <v>4</v>
      </c>
      <c r="G6" s="703">
        <v>5</v>
      </c>
      <c r="H6" s="24"/>
      <c r="I6" s="1366" t="s">
        <v>23</v>
      </c>
      <c r="J6" s="1368" t="s">
        <v>29</v>
      </c>
      <c r="K6" s="1368" t="s">
        <v>168</v>
      </c>
      <c r="L6" s="1370" t="s">
        <v>169</v>
      </c>
      <c r="M6" s="1370" t="s">
        <v>170</v>
      </c>
      <c r="N6" s="1368" t="s">
        <v>30</v>
      </c>
      <c r="O6" s="1374" t="s">
        <v>249</v>
      </c>
      <c r="P6" s="704" t="s">
        <v>250</v>
      </c>
      <c r="Q6" s="1376" t="s">
        <v>28</v>
      </c>
    </row>
    <row r="7" spans="1:18" ht="21.75" customHeight="1">
      <c r="A7" s="108" t="s">
        <v>9</v>
      </c>
      <c r="B7" s="109"/>
      <c r="C7" s="109"/>
      <c r="D7" s="109"/>
      <c r="E7" s="109"/>
      <c r="F7" s="109"/>
      <c r="G7" s="110"/>
      <c r="H7" s="25"/>
      <c r="I7" s="1367"/>
      <c r="J7" s="1369"/>
      <c r="K7" s="1369"/>
      <c r="L7" s="1371"/>
      <c r="M7" s="1371"/>
      <c r="N7" s="1369"/>
      <c r="O7" s="1375"/>
      <c r="P7" s="705" t="s">
        <v>251</v>
      </c>
      <c r="Q7" s="1376"/>
    </row>
    <row r="8" spans="1:18" ht="14">
      <c r="A8" s="111" t="s">
        <v>10</v>
      </c>
      <c r="B8" s="26"/>
      <c r="C8" s="26"/>
      <c r="D8" s="26"/>
      <c r="E8" s="26"/>
      <c r="F8" s="26"/>
      <c r="G8" s="112"/>
      <c r="H8" s="27"/>
      <c r="I8" s="717">
        <v>0</v>
      </c>
      <c r="J8" s="719">
        <v>0</v>
      </c>
      <c r="K8" s="719">
        <f>B30</f>
        <v>6975473.1371430131</v>
      </c>
      <c r="L8" s="720"/>
      <c r="M8" s="719"/>
      <c r="N8" s="719"/>
      <c r="O8" s="719"/>
      <c r="P8" s="721"/>
      <c r="Q8" s="722">
        <f>J8-K8-L8-M8-N8+O8</f>
        <v>-6975473.1371430131</v>
      </c>
    </row>
    <row r="9" spans="1:18" ht="14">
      <c r="A9" s="113" t="s">
        <v>11</v>
      </c>
      <c r="B9" s="26">
        <f>'Balance Inic'!C31</f>
        <v>6975473.1371430131</v>
      </c>
      <c r="C9" s="26"/>
      <c r="D9" s="26"/>
      <c r="E9" s="26"/>
      <c r="F9" s="26"/>
      <c r="G9" s="112"/>
      <c r="H9" s="25"/>
      <c r="I9" s="717">
        <v>1</v>
      </c>
      <c r="J9" s="723">
        <f>C11</f>
        <v>1155000</v>
      </c>
      <c r="K9" s="724" t="e">
        <f>C21</f>
        <v>#REF!</v>
      </c>
      <c r="L9" s="719">
        <f>C23</f>
        <v>0</v>
      </c>
      <c r="M9" s="720">
        <f>C24</f>
        <v>0</v>
      </c>
      <c r="N9" s="720" t="e">
        <f>C26+C27</f>
        <v>#REF!</v>
      </c>
      <c r="O9" s="720">
        <f>C33+C34</f>
        <v>358570</v>
      </c>
      <c r="P9" s="720"/>
      <c r="Q9" s="722" t="e">
        <f>J9-K9-L9-M9-N9+O9</f>
        <v>#REF!</v>
      </c>
      <c r="R9" s="86"/>
    </row>
    <row r="10" spans="1:18" ht="14">
      <c r="A10" s="113" t="s">
        <v>245</v>
      </c>
      <c r="B10" s="26">
        <f>'Balance Inic'!C26</f>
        <v>0</v>
      </c>
      <c r="C10" s="26"/>
      <c r="D10" s="26"/>
      <c r="E10" s="26"/>
      <c r="F10" s="26"/>
      <c r="G10" s="112"/>
      <c r="H10" s="25"/>
      <c r="I10" s="717">
        <v>2</v>
      </c>
      <c r="J10" s="723">
        <f>D11</f>
        <v>1346730.0000000002</v>
      </c>
      <c r="K10" s="724" t="e">
        <f>D21</f>
        <v>#REF!</v>
      </c>
      <c r="L10" s="720">
        <f>D23</f>
        <v>0</v>
      </c>
      <c r="M10" s="720">
        <f>D24</f>
        <v>0</v>
      </c>
      <c r="N10" s="720" t="e">
        <f>D26+D27</f>
        <v>#REF!</v>
      </c>
      <c r="O10" s="720">
        <f>D33+D34</f>
        <v>358570</v>
      </c>
      <c r="P10" s="720"/>
      <c r="Q10" s="722" t="e">
        <f>J10-K10-L10-M10-N10+O10</f>
        <v>#REF!</v>
      </c>
    </row>
    <row r="11" spans="1:18" ht="14">
      <c r="A11" s="113" t="s">
        <v>12</v>
      </c>
      <c r="B11" s="26"/>
      <c r="C11" s="26">
        <f>'Edo.Result Proy'!B7</f>
        <v>1155000</v>
      </c>
      <c r="D11" s="26">
        <f>'Edo.Result Proy'!C7</f>
        <v>1346730.0000000002</v>
      </c>
      <c r="E11" s="26">
        <f>'Edo.Result Proy'!D7</f>
        <v>1713040.5600000005</v>
      </c>
      <c r="F11" s="26">
        <f>'Edo.Result Proy'!E7</f>
        <v>2543865.2316000015</v>
      </c>
      <c r="G11" s="112">
        <f>'Edo.Result Proy'!F7</f>
        <v>3949350.7720590024</v>
      </c>
      <c r="H11" s="25"/>
      <c r="I11" s="717">
        <v>3</v>
      </c>
      <c r="J11" s="725">
        <f>E11</f>
        <v>1713040.5600000005</v>
      </c>
      <c r="K11" s="724" t="e">
        <f>E21</f>
        <v>#REF!</v>
      </c>
      <c r="L11" s="720">
        <f>E23</f>
        <v>0</v>
      </c>
      <c r="M11" s="720">
        <f>E24</f>
        <v>0</v>
      </c>
      <c r="N11" s="720" t="e">
        <f>E26+E27</f>
        <v>#REF!</v>
      </c>
      <c r="O11" s="720">
        <f>E33+E34</f>
        <v>358570</v>
      </c>
      <c r="P11" s="720"/>
      <c r="Q11" s="722" t="e">
        <f>J11-K11-L11-M11-N11+O11</f>
        <v>#REF!</v>
      </c>
    </row>
    <row r="12" spans="1:18" s="83" customFormat="1" ht="15.75" customHeight="1">
      <c r="A12" s="711" t="s">
        <v>13</v>
      </c>
      <c r="B12" s="712">
        <f>B9+B10+B11</f>
        <v>6975473.1371430131</v>
      </c>
      <c r="C12" s="712">
        <f>SUM(C7:C11)</f>
        <v>1155000</v>
      </c>
      <c r="D12" s="712">
        <f>SUM(D7:D11)</f>
        <v>1346730.0000000002</v>
      </c>
      <c r="E12" s="712">
        <f>SUM(E7:E11)</f>
        <v>1713040.5600000005</v>
      </c>
      <c r="F12" s="712">
        <f>SUM(F7:F11)</f>
        <v>2543865.2316000015</v>
      </c>
      <c r="G12" s="713">
        <f>SUM(G7:G11)</f>
        <v>3949350.7720590024</v>
      </c>
      <c r="H12" s="25"/>
      <c r="I12" s="717">
        <v>4</v>
      </c>
      <c r="J12" s="723">
        <f>F11</f>
        <v>2543865.2316000015</v>
      </c>
      <c r="K12" s="724" t="e">
        <f>F21</f>
        <v>#REF!</v>
      </c>
      <c r="L12" s="720">
        <f>F23</f>
        <v>0</v>
      </c>
      <c r="M12" s="720">
        <f>F24</f>
        <v>0</v>
      </c>
      <c r="N12" s="720" t="e">
        <f>F26+F27</f>
        <v>#REF!</v>
      </c>
      <c r="O12" s="720">
        <f>F33+F34</f>
        <v>337770</v>
      </c>
      <c r="P12" s="720"/>
      <c r="Q12" s="722" t="e">
        <f>J12-K12-L12-M12-N12+O12</f>
        <v>#REF!</v>
      </c>
    </row>
    <row r="13" spans="1:18" ht="14" thickBot="1">
      <c r="A13" s="113"/>
      <c r="B13" s="26"/>
      <c r="C13" s="26"/>
      <c r="D13" s="26"/>
      <c r="E13" s="26"/>
      <c r="F13" s="26"/>
      <c r="G13" s="112"/>
      <c r="H13" s="27"/>
      <c r="I13" s="718">
        <v>5</v>
      </c>
      <c r="J13" s="726">
        <f>G11</f>
        <v>3949350.7720590024</v>
      </c>
      <c r="K13" s="727" t="e">
        <f>G21</f>
        <v>#REF!</v>
      </c>
      <c r="L13" s="728">
        <f>G23</f>
        <v>0</v>
      </c>
      <c r="M13" s="728">
        <f>G24</f>
        <v>0</v>
      </c>
      <c r="N13" s="728" t="e">
        <f>G26+G27</f>
        <v>#REF!</v>
      </c>
      <c r="O13" s="728">
        <f>G33+G34</f>
        <v>327370</v>
      </c>
      <c r="P13" s="728">
        <f>G35</f>
        <v>4886850</v>
      </c>
      <c r="Q13" s="729" t="e">
        <f>J13-K13-L13-M13-N13+O13+P13</f>
        <v>#REF!</v>
      </c>
    </row>
    <row r="14" spans="1:18" ht="15" thickBot="1">
      <c r="A14" s="111" t="s">
        <v>14</v>
      </c>
      <c r="B14" s="26"/>
      <c r="C14" s="26"/>
      <c r="D14" s="26"/>
      <c r="E14" s="26"/>
      <c r="F14" s="26"/>
      <c r="G14" s="112"/>
      <c r="H14" s="27"/>
      <c r="I14" s="10"/>
      <c r="J14" s="10"/>
      <c r="K14" s="10"/>
      <c r="L14" s="10"/>
      <c r="M14" s="10"/>
      <c r="N14" s="10"/>
      <c r="O14" s="10"/>
      <c r="P14" s="10"/>
      <c r="Q14" s="13"/>
    </row>
    <row r="15" spans="1:18" ht="24" customHeight="1" thickBot="1">
      <c r="A15" s="113" t="s">
        <v>15</v>
      </c>
      <c r="B15" s="26">
        <f>'Balance Inic'!C16</f>
        <v>6627700</v>
      </c>
      <c r="C15" s="26"/>
      <c r="D15" s="26"/>
      <c r="E15" s="26"/>
      <c r="F15" s="26"/>
      <c r="G15" s="112"/>
      <c r="H15" s="25"/>
      <c r="I15" s="10"/>
      <c r="J15" s="730" t="s">
        <v>171</v>
      </c>
      <c r="K15" s="731">
        <f>O19</f>
        <v>0.1</v>
      </c>
      <c r="L15" s="10"/>
      <c r="M15" s="14"/>
      <c r="N15" s="1380" t="s">
        <v>357</v>
      </c>
      <c r="O15" s="1381"/>
      <c r="P15" s="12"/>
      <c r="Q15" s="31"/>
    </row>
    <row r="16" spans="1:18" ht="15" thickBot="1">
      <c r="A16" s="113" t="s">
        <v>16</v>
      </c>
      <c r="B16" s="26">
        <f>'Balance Inic'!B6</f>
        <v>0</v>
      </c>
      <c r="C16" s="26" t="e">
        <f>'Flujo Efec mensual 5 Años'!O14</f>
        <v>#REF!</v>
      </c>
      <c r="D16" s="26" t="e">
        <f>'Flujo Efec mensual 5 Años'!O40</f>
        <v>#REF!</v>
      </c>
      <c r="E16" s="26" t="e">
        <f>'Flujo Efec mensual 5 Años'!O66</f>
        <v>#REF!</v>
      </c>
      <c r="F16" s="26" t="e">
        <f>'Flujo Efec mensual 5 Años'!O92</f>
        <v>#REF!</v>
      </c>
      <c r="G16" s="112" t="e">
        <f>'Flujo Efec mensual 5 Años'!O118</f>
        <v>#REF!</v>
      </c>
      <c r="H16" s="25"/>
      <c r="I16" s="10"/>
      <c r="J16" s="10"/>
      <c r="K16" s="10"/>
      <c r="L16" s="10"/>
      <c r="M16" s="10"/>
      <c r="N16" s="155" t="s">
        <v>352</v>
      </c>
      <c r="O16" s="156">
        <v>0.1</v>
      </c>
      <c r="P16" s="12"/>
      <c r="Q16" s="85"/>
      <c r="R16" s="84"/>
    </row>
    <row r="17" spans="1:17">
      <c r="A17" s="113"/>
      <c r="B17" s="26"/>
      <c r="C17" s="26"/>
      <c r="D17" s="26"/>
      <c r="E17" s="26"/>
      <c r="F17" s="26"/>
      <c r="G17" s="112"/>
      <c r="H17" s="25"/>
      <c r="I17" s="1394" t="s">
        <v>172</v>
      </c>
      <c r="J17" s="1395"/>
      <c r="K17" s="1395"/>
      <c r="L17" s="1396"/>
      <c r="M17" s="129"/>
      <c r="N17" s="157" t="s">
        <v>353</v>
      </c>
      <c r="O17" s="158"/>
      <c r="P17" s="12"/>
      <c r="Q17" s="31"/>
    </row>
    <row r="18" spans="1:17" ht="14" thickBot="1">
      <c r="A18" s="113"/>
      <c r="B18" s="26"/>
      <c r="C18" s="26"/>
      <c r="D18" s="26"/>
      <c r="E18" s="26"/>
      <c r="F18" s="26"/>
      <c r="G18" s="112"/>
      <c r="H18" s="25"/>
      <c r="I18" s="1397"/>
      <c r="J18" s="1398"/>
      <c r="K18" s="1398"/>
      <c r="L18" s="1399"/>
      <c r="M18" s="129"/>
      <c r="N18" s="747" t="s">
        <v>358</v>
      </c>
      <c r="O18" s="748">
        <f>0.12*O17</f>
        <v>0</v>
      </c>
      <c r="P18" s="12"/>
      <c r="Q18" s="31"/>
    </row>
    <row r="19" spans="1:17" ht="15" thickBot="1">
      <c r="A19" s="113" t="s">
        <v>137</v>
      </c>
      <c r="B19" s="26"/>
      <c r="C19" s="26">
        <f>'Edo.Result Proy'!B11</f>
        <v>1236512.5508173518</v>
      </c>
      <c r="D19" s="26">
        <f>'Edo.Result Proy'!C11</f>
        <v>1441773.634253032</v>
      </c>
      <c r="E19" s="26">
        <f>'Edo.Result Proy'!D11</f>
        <v>1833936.0627698572</v>
      </c>
      <c r="F19" s="26">
        <f>'Edo.Result Proy'!E11</f>
        <v>2723395.0532132396</v>
      </c>
      <c r="G19" s="112">
        <f>'Edo.Result Proy'!F11</f>
        <v>4228070.8201135546</v>
      </c>
      <c r="H19" s="25"/>
      <c r="I19" s="1400" t="s">
        <v>23</v>
      </c>
      <c r="J19" s="1401" t="s">
        <v>28</v>
      </c>
      <c r="K19" s="1402" t="s">
        <v>33</v>
      </c>
      <c r="L19" s="1403" t="s">
        <v>173</v>
      </c>
      <c r="M19" s="10"/>
      <c r="N19" s="747" t="s">
        <v>354</v>
      </c>
      <c r="O19" s="749">
        <f>O16+O17+O18</f>
        <v>0.1</v>
      </c>
      <c r="P19" s="12"/>
      <c r="Q19" s="31"/>
    </row>
    <row r="20" spans="1:17" ht="14">
      <c r="A20" s="113" t="s">
        <v>174</v>
      </c>
      <c r="B20" s="26"/>
      <c r="C20" s="26">
        <f>' Deprec. 5 años'!C17</f>
        <v>358570</v>
      </c>
      <c r="D20" s="26">
        <f>' Deprec. 5 años'!D17</f>
        <v>358570</v>
      </c>
      <c r="E20" s="26">
        <f>' Deprec. 5 años'!E17</f>
        <v>358570</v>
      </c>
      <c r="F20" s="26">
        <f>' Deprec. 5 años'!F17</f>
        <v>337770</v>
      </c>
      <c r="G20" s="112">
        <f>' Deprec. 5 años'!G17</f>
        <v>327370</v>
      </c>
      <c r="H20" s="25"/>
      <c r="I20" s="1400"/>
      <c r="J20" s="1401"/>
      <c r="K20" s="1402"/>
      <c r="L20" s="1403"/>
      <c r="M20" s="10"/>
      <c r="P20" s="12"/>
      <c r="Q20" s="31"/>
    </row>
    <row r="21" spans="1:17" ht="15" thickBot="1">
      <c r="A21" s="750" t="s">
        <v>246</v>
      </c>
      <c r="B21" s="751">
        <f t="shared" ref="B21:G21" si="0">SUM(B15:B20)</f>
        <v>6627700</v>
      </c>
      <c r="C21" s="751" t="e">
        <f t="shared" si="0"/>
        <v>#REF!</v>
      </c>
      <c r="D21" s="751" t="e">
        <f t="shared" si="0"/>
        <v>#REF!</v>
      </c>
      <c r="E21" s="751" t="e">
        <f t="shared" si="0"/>
        <v>#REF!</v>
      </c>
      <c r="F21" s="751" t="e">
        <f t="shared" si="0"/>
        <v>#REF!</v>
      </c>
      <c r="G21" s="752" t="e">
        <f t="shared" si="0"/>
        <v>#REF!</v>
      </c>
      <c r="H21" s="25"/>
      <c r="I21" s="1400"/>
      <c r="J21" s="1401"/>
      <c r="K21" s="1402"/>
      <c r="L21" s="1401"/>
      <c r="M21" s="10"/>
      <c r="N21" s="10"/>
      <c r="O21" s="12"/>
      <c r="P21" s="12"/>
      <c r="Q21" s="12"/>
    </row>
    <row r="22" spans="1:17" ht="15" thickBot="1">
      <c r="A22" s="114" t="s">
        <v>315</v>
      </c>
      <c r="B22" s="26">
        <f>'Balance Inic'!B5</f>
        <v>318579.1371430133</v>
      </c>
      <c r="C22" s="26"/>
      <c r="D22" s="26"/>
      <c r="E22" s="26"/>
      <c r="F22" s="26"/>
      <c r="G22" s="112"/>
      <c r="I22" s="732">
        <v>0</v>
      </c>
      <c r="J22" s="733">
        <f>B37</f>
        <v>-6975473.1371430131</v>
      </c>
      <c r="K22" s="734"/>
      <c r="L22" s="735">
        <f>J22</f>
        <v>-6975473.1371430131</v>
      </c>
      <c r="M22" s="1389" t="s">
        <v>136</v>
      </c>
      <c r="N22" s="1390"/>
      <c r="O22" s="10"/>
      <c r="P22" s="10"/>
      <c r="Q22" s="10"/>
    </row>
    <row r="23" spans="1:17" ht="14">
      <c r="A23" s="113" t="s">
        <v>412</v>
      </c>
      <c r="B23" s="26">
        <f>INVERSION!D57</f>
        <v>29194</v>
      </c>
      <c r="C23" s="26"/>
      <c r="D23" s="26"/>
      <c r="E23" s="26"/>
      <c r="F23" s="26"/>
      <c r="G23" s="112"/>
      <c r="H23" s="25"/>
      <c r="I23" s="736">
        <v>1</v>
      </c>
      <c r="J23" s="160" t="e">
        <f>Q9</f>
        <v>#REF!</v>
      </c>
      <c r="K23" s="737">
        <f>(1+$K$15)^1</f>
        <v>1.1000000000000001</v>
      </c>
      <c r="L23" s="738" t="e">
        <f>J23/K23</f>
        <v>#REF!</v>
      </c>
      <c r="M23" s="12"/>
      <c r="N23" s="10"/>
      <c r="O23" s="10"/>
      <c r="P23" s="10"/>
      <c r="Q23" s="10"/>
    </row>
    <row r="24" spans="1:17" ht="14">
      <c r="A24" s="113" t="s">
        <v>248</v>
      </c>
      <c r="B24" s="26"/>
      <c r="C24" s="26">
        <f>'Pago Financiamto'!J25</f>
        <v>0</v>
      </c>
      <c r="D24" s="26">
        <f>'Pago Financiamto'!J37</f>
        <v>0</v>
      </c>
      <c r="E24" s="26">
        <f>'Pago Financiamto'!J49</f>
        <v>0</v>
      </c>
      <c r="F24" s="26">
        <f>'Pago Financiamto'!J61</f>
        <v>0</v>
      </c>
      <c r="G24" s="112">
        <f>'Pago Financiamto'!J73</f>
        <v>0</v>
      </c>
      <c r="H24" s="25"/>
      <c r="I24" s="736">
        <v>2</v>
      </c>
      <c r="J24" s="160" t="e">
        <f>Q10</f>
        <v>#REF!</v>
      </c>
      <c r="K24" s="737">
        <f>(1+$K$15)^2</f>
        <v>1.2100000000000002</v>
      </c>
      <c r="L24" s="738" t="e">
        <f>J24/K24</f>
        <v>#REF!</v>
      </c>
      <c r="M24" s="12"/>
      <c r="N24" s="10"/>
      <c r="O24" s="10"/>
      <c r="P24" s="10"/>
      <c r="Q24" s="10"/>
    </row>
    <row r="25" spans="1:17" ht="14">
      <c r="A25" s="113" t="s">
        <v>439</v>
      </c>
      <c r="B25" s="26"/>
      <c r="C25" s="26">
        <f>'Pago Financiamto'!K25</f>
        <v>0</v>
      </c>
      <c r="D25" s="26">
        <f>'Pago Financiamto'!K37</f>
        <v>0</v>
      </c>
      <c r="E25" s="26">
        <f>'Pago Financiamto'!K49</f>
        <v>0</v>
      </c>
      <c r="F25" s="26">
        <f>'Pago Financiamto'!K61</f>
        <v>0</v>
      </c>
      <c r="G25" s="112">
        <f>'Pago Financiamto'!K73</f>
        <v>0</v>
      </c>
      <c r="H25" s="25"/>
      <c r="I25" s="736">
        <v>3</v>
      </c>
      <c r="J25" s="160" t="e">
        <f>Q11</f>
        <v>#REF!</v>
      </c>
      <c r="K25" s="737">
        <f>(1+$K$15)^3</f>
        <v>1.3310000000000004</v>
      </c>
      <c r="L25" s="738" t="e">
        <f>J25/K25</f>
        <v>#REF!</v>
      </c>
      <c r="M25" s="12"/>
      <c r="N25" s="10"/>
      <c r="O25" s="10"/>
      <c r="P25" s="10"/>
      <c r="Q25" s="10"/>
    </row>
    <row r="26" spans="1:17" ht="14">
      <c r="A26" s="113" t="s">
        <v>21</v>
      </c>
      <c r="B26" s="26"/>
      <c r="C26" s="26" t="e">
        <f>'Edo.Result Proy'!B16</f>
        <v>#REF!</v>
      </c>
      <c r="D26" s="26" t="e">
        <f>'Edo.Result Proy'!C16</f>
        <v>#REF!</v>
      </c>
      <c r="E26" s="26" t="e">
        <f>'Edo.Result Proy'!D16</f>
        <v>#REF!</v>
      </c>
      <c r="F26" s="26" t="e">
        <f>'Edo.Result Proy'!E16</f>
        <v>#REF!</v>
      </c>
      <c r="G26" s="112" t="e">
        <f>'Edo.Result Proy'!F16</f>
        <v>#REF!</v>
      </c>
      <c r="H26" s="25"/>
      <c r="I26" s="736">
        <v>4</v>
      </c>
      <c r="J26" s="160" t="e">
        <f>Q12</f>
        <v>#REF!</v>
      </c>
      <c r="K26" s="737">
        <f>(1+$K$15)^4</f>
        <v>1.4641000000000004</v>
      </c>
      <c r="L26" s="738" t="e">
        <f>J26/K26</f>
        <v>#REF!</v>
      </c>
      <c r="M26" s="12"/>
      <c r="N26" s="10"/>
      <c r="O26" s="10"/>
      <c r="P26" s="10"/>
      <c r="Q26" s="10"/>
    </row>
    <row r="27" spans="1:17" ht="15" thickBot="1">
      <c r="A27" s="113" t="s">
        <v>22</v>
      </c>
      <c r="B27" s="26"/>
      <c r="C27" s="26">
        <f>'Edo.Result Proy'!B17</f>
        <v>0</v>
      </c>
      <c r="D27" s="26" t="e">
        <f>'Edo.Result Proy'!C17</f>
        <v>#REF!</v>
      </c>
      <c r="E27" s="26" t="e">
        <f>'Edo.Result Proy'!D17</f>
        <v>#REF!</v>
      </c>
      <c r="F27" s="26" t="e">
        <f>'Edo.Result Proy'!E17</f>
        <v>#REF!</v>
      </c>
      <c r="G27" s="112" t="e">
        <f>'Edo.Result Proy'!F17</f>
        <v>#REF!</v>
      </c>
      <c r="H27" s="25"/>
      <c r="I27" s="739">
        <v>5</v>
      </c>
      <c r="J27" s="740" t="e">
        <f>Q13</f>
        <v>#REF!</v>
      </c>
      <c r="K27" s="741">
        <f>(1+$K$15)^5</f>
        <v>1.6105100000000006</v>
      </c>
      <c r="L27" s="742" t="e">
        <f>J27/K27</f>
        <v>#REF!</v>
      </c>
      <c r="M27" s="12"/>
      <c r="N27" s="10"/>
      <c r="O27" s="10"/>
      <c r="P27" s="10"/>
      <c r="Q27" s="10"/>
    </row>
    <row r="28" spans="1:17" ht="14" thickBot="1">
      <c r="A28" s="113"/>
      <c r="B28" s="26"/>
      <c r="C28" s="26"/>
      <c r="D28" s="26"/>
      <c r="E28" s="26"/>
      <c r="F28" s="26"/>
      <c r="G28" s="112"/>
      <c r="H28" s="25"/>
      <c r="I28" s="104"/>
      <c r="J28" s="107" t="e">
        <f>SUM(J22:J27)</f>
        <v>#REF!</v>
      </c>
      <c r="K28" s="105"/>
      <c r="L28" s="106"/>
      <c r="M28" s="12"/>
      <c r="N28" s="10"/>
      <c r="O28" s="10"/>
      <c r="P28" s="10"/>
      <c r="Q28" s="10"/>
    </row>
    <row r="29" spans="1:17" ht="18" customHeight="1" thickBot="1">
      <c r="A29" s="753" t="s">
        <v>246</v>
      </c>
      <c r="B29" s="754"/>
      <c r="C29" s="754" t="e">
        <f>SUM(C23:C27)</f>
        <v>#REF!</v>
      </c>
      <c r="D29" s="754" t="e">
        <f>SUM(D23:D27)</f>
        <v>#REF!</v>
      </c>
      <c r="E29" s="754" t="e">
        <f>SUM(E23:E27)</f>
        <v>#REF!</v>
      </c>
      <c r="F29" s="754" t="e">
        <f>SUM(F23:F27)</f>
        <v>#REF!</v>
      </c>
      <c r="G29" s="755" t="e">
        <f>SUM(G23:G27)</f>
        <v>#REF!</v>
      </c>
      <c r="H29" s="25"/>
      <c r="I29" s="1391" t="s">
        <v>32</v>
      </c>
      <c r="J29" s="1392"/>
      <c r="K29" s="1393"/>
      <c r="L29" s="743" t="e">
        <f>SUM(L22:L27)</f>
        <v>#REF!</v>
      </c>
      <c r="M29" s="12"/>
      <c r="N29" s="10"/>
      <c r="O29" s="10"/>
      <c r="P29" s="10"/>
      <c r="Q29" s="10"/>
    </row>
    <row r="30" spans="1:17" ht="16.5" customHeight="1">
      <c r="A30" s="711" t="s">
        <v>18</v>
      </c>
      <c r="B30" s="712">
        <f>SUM(B21:B29)</f>
        <v>6975473.1371430131</v>
      </c>
      <c r="C30" s="712" t="e">
        <f>SUM(C21+C29)</f>
        <v>#REF!</v>
      </c>
      <c r="D30" s="712" t="e">
        <f>SUM(D21+D29)</f>
        <v>#REF!</v>
      </c>
      <c r="E30" s="712" t="e">
        <f>SUM(E21+E29)</f>
        <v>#REF!</v>
      </c>
      <c r="F30" s="712" t="e">
        <f>SUM(F21+F29)</f>
        <v>#REF!</v>
      </c>
      <c r="G30" s="713" t="e">
        <f>SUM(G21+G29)</f>
        <v>#REF!</v>
      </c>
      <c r="H30" s="28"/>
      <c r="I30" s="12"/>
      <c r="J30" s="12"/>
      <c r="K30" s="12"/>
      <c r="L30" s="32"/>
      <c r="M30" s="12"/>
      <c r="N30" s="13"/>
      <c r="O30" s="10"/>
      <c r="P30" s="184"/>
      <c r="Q30" s="10"/>
    </row>
    <row r="31" spans="1:17">
      <c r="A31" s="115"/>
      <c r="B31" s="87"/>
      <c r="C31" s="87"/>
      <c r="D31" s="87"/>
      <c r="E31" s="87"/>
      <c r="F31" s="87"/>
      <c r="G31" s="116"/>
      <c r="H31" s="28"/>
      <c r="I31" s="12"/>
      <c r="J31" s="12"/>
      <c r="K31" s="12"/>
      <c r="L31" s="32"/>
      <c r="M31" s="12"/>
      <c r="N31" s="13"/>
      <c r="O31" s="10"/>
      <c r="P31" s="10"/>
      <c r="Q31" s="10"/>
    </row>
    <row r="32" spans="1:17" ht="14">
      <c r="A32" s="756" t="s">
        <v>459</v>
      </c>
      <c r="B32" s="757">
        <f>-B30</f>
        <v>-6975473.1371430131</v>
      </c>
      <c r="C32" s="751" t="e">
        <f>C12-C30</f>
        <v>#REF!</v>
      </c>
      <c r="D32" s="751" t="e">
        <f>D12-D30</f>
        <v>#REF!</v>
      </c>
      <c r="E32" s="751" t="e">
        <f>E12-E30</f>
        <v>#REF!</v>
      </c>
      <c r="F32" s="751" t="e">
        <f>F12-F30</f>
        <v>#REF!</v>
      </c>
      <c r="G32" s="752" t="e">
        <f>G12-G30</f>
        <v>#REF!</v>
      </c>
      <c r="H32" s="28"/>
      <c r="I32" s="12"/>
      <c r="J32" s="12"/>
      <c r="K32" s="12"/>
      <c r="L32" s="29"/>
      <c r="M32" s="29"/>
      <c r="N32" s="10"/>
      <c r="O32" s="10"/>
      <c r="P32" s="10"/>
      <c r="Q32" s="10"/>
    </row>
    <row r="33" spans="1:17" ht="14">
      <c r="A33" s="179" t="s">
        <v>254</v>
      </c>
      <c r="B33" s="15"/>
      <c r="C33" s="16"/>
      <c r="D33" s="16"/>
      <c r="E33" s="16"/>
      <c r="F33" s="15"/>
      <c r="G33" s="100"/>
      <c r="H33" s="10"/>
      <c r="I33" s="1385" t="s">
        <v>32</v>
      </c>
      <c r="J33" s="1385"/>
      <c r="K33" s="1385"/>
      <c r="L33" s="744" t="e">
        <f>NPV(K15,J23:J27)+B37</f>
        <v>#REF!</v>
      </c>
      <c r="M33" s="23" t="e">
        <f>IF(L33&gt;1,"SE ACEPTA","SE RECHAZA")</f>
        <v>#REF!</v>
      </c>
      <c r="N33" s="29"/>
      <c r="O33" s="10"/>
      <c r="P33" s="10"/>
      <c r="Q33" s="10"/>
    </row>
    <row r="34" spans="1:17" ht="14">
      <c r="A34" s="117" t="s">
        <v>175</v>
      </c>
      <c r="B34" s="26"/>
      <c r="C34" s="26">
        <f>C20</f>
        <v>358570</v>
      </c>
      <c r="D34" s="26">
        <f>D20</f>
        <v>358570</v>
      </c>
      <c r="E34" s="26">
        <f>E20</f>
        <v>358570</v>
      </c>
      <c r="F34" s="26">
        <f>F20</f>
        <v>337770</v>
      </c>
      <c r="G34" s="112">
        <f>G20</f>
        <v>327370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4">
      <c r="A35" s="118" t="s">
        <v>176</v>
      </c>
      <c r="B35" s="26"/>
      <c r="C35" s="26"/>
      <c r="D35" s="26"/>
      <c r="E35" s="26"/>
      <c r="F35" s="26"/>
      <c r="G35" s="112">
        <f>' Deprec. 5 años'!G36</f>
        <v>4886850</v>
      </c>
      <c r="H35" s="10"/>
      <c r="I35" s="10"/>
      <c r="J35" s="10"/>
      <c r="K35" s="10"/>
      <c r="L35" s="10"/>
      <c r="M35" s="33"/>
      <c r="N35" s="10"/>
      <c r="O35" s="10"/>
      <c r="P35" s="10"/>
      <c r="Q35" s="10"/>
    </row>
    <row r="36" spans="1:17">
      <c r="A36" s="171"/>
      <c r="B36" s="26"/>
      <c r="C36" s="26"/>
      <c r="D36" s="26"/>
      <c r="E36" s="26"/>
      <c r="F36" s="26"/>
      <c r="G36" s="26"/>
      <c r="H36" s="10"/>
      <c r="I36" s="1385" t="s">
        <v>177</v>
      </c>
      <c r="J36" s="1385"/>
      <c r="K36" s="1385"/>
      <c r="L36" s="745" t="e">
        <f>SUM(L23:L27)/-L22</f>
        <v>#REF!</v>
      </c>
      <c r="M36" s="23" t="e">
        <f>IF(L36&gt;1,"SE ACEPTA","SE RECHAZA")</f>
        <v>#REF!</v>
      </c>
      <c r="N36" s="10"/>
      <c r="O36" s="10"/>
      <c r="P36" s="10"/>
      <c r="Q36" s="10"/>
    </row>
    <row r="37" spans="1:17" ht="13.5" customHeight="1" thickBot="1">
      <c r="A37" s="714" t="s">
        <v>247</v>
      </c>
      <c r="B37" s="715">
        <f t="shared" ref="B37:G37" si="1">SUM(B32:B36)</f>
        <v>-6975473.1371430131</v>
      </c>
      <c r="C37" s="715" t="e">
        <f t="shared" si="1"/>
        <v>#REF!</v>
      </c>
      <c r="D37" s="715" t="e">
        <f t="shared" si="1"/>
        <v>#REF!</v>
      </c>
      <c r="E37" s="715" t="e">
        <f t="shared" si="1"/>
        <v>#REF!</v>
      </c>
      <c r="F37" s="715" t="e">
        <f t="shared" si="1"/>
        <v>#REF!</v>
      </c>
      <c r="G37" s="716" t="e">
        <f t="shared" si="1"/>
        <v>#REF!</v>
      </c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2"/>
      <c r="B38" s="34"/>
      <c r="C38" s="34"/>
      <c r="D38" s="34"/>
      <c r="E38" s="34"/>
      <c r="F38" s="34"/>
      <c r="G38" s="34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2"/>
      <c r="B39" s="34"/>
      <c r="C39" s="34"/>
      <c r="D39" s="34"/>
      <c r="E39" s="34"/>
      <c r="F39" s="34"/>
      <c r="G39" s="34"/>
      <c r="H39" s="10"/>
      <c r="I39" s="1384" t="s">
        <v>256</v>
      </c>
      <c r="J39" s="1385"/>
      <c r="K39" s="1385"/>
      <c r="L39" s="746" t="e">
        <f>IRR(B37:G37)</f>
        <v>#VALUE!</v>
      </c>
      <c r="M39" s="23" t="e">
        <f>IF(L39&gt;K15,"SE ACEPTA","SE RECHAZA")</f>
        <v>#VALUE!</v>
      </c>
      <c r="N39" s="10"/>
      <c r="O39" s="10"/>
      <c r="P39" s="10"/>
      <c r="Q39" s="10"/>
    </row>
    <row r="40" spans="1:17" ht="14" thickBot="1">
      <c r="A40" s="12"/>
      <c r="B40" s="34"/>
      <c r="C40" s="34"/>
      <c r="D40" s="34"/>
      <c r="E40" s="34"/>
      <c r="F40" s="34"/>
      <c r="G40" s="34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4" thickBot="1">
      <c r="A41" s="12"/>
      <c r="B41" s="34"/>
      <c r="C41" s="34"/>
      <c r="D41" s="34"/>
      <c r="E41" s="34"/>
      <c r="F41" s="34"/>
      <c r="G41" s="34"/>
      <c r="H41" s="10"/>
      <c r="I41" s="1384" t="s">
        <v>178</v>
      </c>
      <c r="J41" s="1385"/>
      <c r="K41" s="1386"/>
      <c r="L41" s="1387" t="s">
        <v>509</v>
      </c>
      <c r="M41" s="1388"/>
      <c r="N41" s="10"/>
      <c r="O41" s="10"/>
      <c r="P41" s="10"/>
      <c r="Q41" s="10"/>
    </row>
    <row r="42" spans="1:17">
      <c r="A42" s="12"/>
      <c r="B42" s="34"/>
      <c r="C42" s="34"/>
      <c r="D42" s="34"/>
      <c r="E42" s="34"/>
      <c r="F42" s="34"/>
      <c r="G42" s="34"/>
      <c r="H42" s="10"/>
      <c r="I42" s="10"/>
      <c r="J42" s="10"/>
      <c r="K42" s="10"/>
      <c r="L42" s="10"/>
      <c r="M42" s="10"/>
      <c r="N42" s="709" t="s">
        <v>258</v>
      </c>
      <c r="O42" s="710" t="s">
        <v>209</v>
      </c>
      <c r="P42" s="710" t="s">
        <v>259</v>
      </c>
      <c r="Q42" s="10"/>
    </row>
    <row r="43" spans="1:17">
      <c r="A43" s="12"/>
      <c r="B43" s="34"/>
      <c r="C43" s="34"/>
      <c r="D43" s="34"/>
      <c r="E43" s="34"/>
      <c r="F43" s="34"/>
      <c r="G43" s="34"/>
      <c r="H43" s="10"/>
      <c r="I43" s="10"/>
      <c r="J43" s="10"/>
      <c r="K43" s="10"/>
      <c r="L43" s="10"/>
      <c r="M43" s="10"/>
      <c r="N43" s="101"/>
      <c r="O43" s="101"/>
      <c r="P43" s="15"/>
      <c r="Q43" s="10"/>
    </row>
    <row r="44" spans="1:17" ht="14" thickBot="1">
      <c r="A44" s="12"/>
      <c r="B44" s="34"/>
      <c r="C44" s="34"/>
      <c r="D44" s="34"/>
      <c r="E44" s="34"/>
      <c r="F44" s="34"/>
      <c r="G44" s="34"/>
      <c r="H44" s="10"/>
      <c r="I44" s="12" t="s">
        <v>179</v>
      </c>
      <c r="J44" s="12"/>
      <c r="K44" s="1383"/>
      <c r="L44" s="1383"/>
      <c r="M44" s="181">
        <f>L22*-1</f>
        <v>6975473.1371430131</v>
      </c>
      <c r="N44" s="159" t="e">
        <f>M44/M45</f>
        <v>#REF!</v>
      </c>
      <c r="O44" s="160" t="e">
        <f>N45-1</f>
        <v>#REF!</v>
      </c>
      <c r="P44" s="182" t="e">
        <f>O45</f>
        <v>#REF!</v>
      </c>
      <c r="Q44" s="10" t="s">
        <v>350</v>
      </c>
    </row>
    <row r="45" spans="1:17">
      <c r="A45" s="12"/>
      <c r="B45" s="34"/>
      <c r="C45" s="34"/>
      <c r="D45" s="34"/>
      <c r="E45" s="34"/>
      <c r="F45" s="34"/>
      <c r="G45" s="34"/>
      <c r="H45" s="10"/>
      <c r="I45" s="10"/>
      <c r="J45" s="48"/>
      <c r="K45" s="1382" t="s">
        <v>257</v>
      </c>
      <c r="L45" s="1382"/>
      <c r="M45" s="13" t="e">
        <f>L23</f>
        <v>#REF!</v>
      </c>
      <c r="N45" s="159" t="e">
        <f>N44-0/M45</f>
        <v>#REF!</v>
      </c>
      <c r="O45" s="160" t="e">
        <f>O44*12</f>
        <v>#REF!</v>
      </c>
      <c r="P45" s="182" t="e">
        <f>P44*30</f>
        <v>#REF!</v>
      </c>
      <c r="Q45" s="10" t="s">
        <v>351</v>
      </c>
    </row>
    <row r="46" spans="1:17">
      <c r="A46" s="12"/>
      <c r="B46" s="34"/>
      <c r="C46" s="34"/>
      <c r="D46" s="34"/>
      <c r="E46" s="34"/>
      <c r="F46" s="34"/>
      <c r="G46" s="34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8" spans="1:17">
      <c r="K48" s="172"/>
    </row>
  </sheetData>
  <mergeCells count="29">
    <mergeCell ref="N15:O15"/>
    <mergeCell ref="K45:L45"/>
    <mergeCell ref="K44:L44"/>
    <mergeCell ref="I41:K41"/>
    <mergeCell ref="L41:M41"/>
    <mergeCell ref="I33:K33"/>
    <mergeCell ref="I36:K36"/>
    <mergeCell ref="I39:K39"/>
    <mergeCell ref="M22:N22"/>
    <mergeCell ref="I29:K29"/>
    <mergeCell ref="I17:L18"/>
    <mergeCell ref="I19:I21"/>
    <mergeCell ref="J19:J21"/>
    <mergeCell ref="K19:K21"/>
    <mergeCell ref="L19:L21"/>
    <mergeCell ref="A2:G2"/>
    <mergeCell ref="A4:A6"/>
    <mergeCell ref="B4:B6"/>
    <mergeCell ref="I4:Q4"/>
    <mergeCell ref="I6:I7"/>
    <mergeCell ref="J6:J7"/>
    <mergeCell ref="K6:K7"/>
    <mergeCell ref="L6:L7"/>
    <mergeCell ref="M6:M7"/>
    <mergeCell ref="N6:N7"/>
    <mergeCell ref="O5:P5"/>
    <mergeCell ref="O6:O7"/>
    <mergeCell ref="Q6:Q7"/>
    <mergeCell ref="K5:N5"/>
  </mergeCells>
  <phoneticPr fontId="0" type="noConversion"/>
  <pageMargins left="0.75" right="0.75" top="1" bottom="1" header="0" footer="0"/>
  <pageSetup paperSize="9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2"/>
  <dimension ref="A1:M117"/>
  <sheetViews>
    <sheetView workbookViewId="0">
      <selection activeCell="L7" sqref="L7"/>
    </sheetView>
  </sheetViews>
  <sheetFormatPr baseColWidth="10" defaultColWidth="11" defaultRowHeight="13"/>
  <cols>
    <col min="1" max="1" width="15.83203125" style="187" customWidth="1"/>
    <col min="2" max="2" width="11" style="187" hidden="1" customWidth="1"/>
    <col min="3" max="3" width="14.6640625" style="187" customWidth="1"/>
    <col min="4" max="4" width="12.6640625" style="187" customWidth="1"/>
    <col min="5" max="5" width="14" style="187" customWidth="1"/>
    <col min="6" max="6" width="13.6640625" style="187" customWidth="1"/>
    <col min="7" max="7" width="16.83203125" style="187" customWidth="1"/>
    <col min="8" max="8" width="14.83203125" style="187" customWidth="1"/>
    <col min="9" max="11" width="11" style="187"/>
    <col min="12" max="12" width="4.33203125" style="187" customWidth="1"/>
    <col min="13" max="16384" width="11" style="187"/>
  </cols>
  <sheetData>
    <row r="1" spans="1:8" ht="14" thickBot="1"/>
    <row r="2" spans="1:8" ht="23.25" customHeight="1">
      <c r="A2" s="1105" t="s">
        <v>457</v>
      </c>
      <c r="B2" s="1106"/>
      <c r="C2" s="1106" t="s">
        <v>186</v>
      </c>
      <c r="D2" s="1107" t="s">
        <v>189</v>
      </c>
    </row>
    <row r="3" spans="1:8">
      <c r="A3" s="353" t="s">
        <v>363</v>
      </c>
      <c r="B3" s="758"/>
      <c r="C3" s="778" t="e">
        <f t="shared" ref="C3:C11" si="0">NPV(D3,$D$14:$H$14)+$C$14</f>
        <v>#REF!</v>
      </c>
      <c r="D3" s="779">
        <v>0</v>
      </c>
    </row>
    <row r="4" spans="1:8">
      <c r="A4" s="486" t="s">
        <v>187</v>
      </c>
      <c r="B4" s="775"/>
      <c r="C4" s="776" t="e">
        <f t="shared" si="0"/>
        <v>#REF!</v>
      </c>
      <c r="D4" s="777">
        <f>'VAN TIR'!K15</f>
        <v>0.1</v>
      </c>
      <c r="E4" s="759">
        <v>0.18</v>
      </c>
      <c r="F4" s="397"/>
      <c r="G4" s="397"/>
      <c r="H4" s="397"/>
    </row>
    <row r="5" spans="1:8">
      <c r="A5" s="353"/>
      <c r="B5" s="760"/>
      <c r="C5" s="778" t="e">
        <f t="shared" si="0"/>
        <v>#REF!</v>
      </c>
      <c r="D5" s="761">
        <f>D4+$E$4</f>
        <v>0.28000000000000003</v>
      </c>
      <c r="E5" s="397"/>
      <c r="F5" s="397"/>
      <c r="G5" s="397"/>
      <c r="H5" s="397"/>
    </row>
    <row r="6" spans="1:8">
      <c r="A6" s="353"/>
      <c r="B6" s="760"/>
      <c r="C6" s="778" t="e">
        <f t="shared" si="0"/>
        <v>#REF!</v>
      </c>
      <c r="D6" s="761">
        <f>D5+$E$4</f>
        <v>0.46</v>
      </c>
      <c r="E6" s="397"/>
      <c r="F6" s="397"/>
      <c r="G6" s="397"/>
      <c r="H6" s="397"/>
    </row>
    <row r="7" spans="1:8">
      <c r="A7" s="353"/>
      <c r="B7" s="760"/>
      <c r="C7" s="778" t="e">
        <f t="shared" si="0"/>
        <v>#REF!</v>
      </c>
      <c r="D7" s="761">
        <f>D6+$E$4</f>
        <v>0.64</v>
      </c>
      <c r="E7" s="397"/>
      <c r="F7" s="397"/>
      <c r="G7" s="397"/>
      <c r="H7" s="397"/>
    </row>
    <row r="8" spans="1:8">
      <c r="A8" s="353"/>
      <c r="B8" s="760"/>
      <c r="C8" s="778" t="e">
        <f t="shared" si="0"/>
        <v>#REF!</v>
      </c>
      <c r="D8" s="761">
        <f>D7+$E$4</f>
        <v>0.82000000000000006</v>
      </c>
      <c r="E8" s="397"/>
      <c r="F8" s="397"/>
      <c r="G8" s="397"/>
      <c r="H8" s="397"/>
    </row>
    <row r="9" spans="1:8">
      <c r="A9" s="353" t="s">
        <v>364</v>
      </c>
      <c r="B9" s="762"/>
      <c r="C9" s="778" t="e">
        <f t="shared" si="0"/>
        <v>#REF!</v>
      </c>
      <c r="D9" s="761">
        <f>D8+$E$4</f>
        <v>1</v>
      </c>
      <c r="E9" s="397"/>
      <c r="F9" s="397"/>
      <c r="G9" s="397"/>
      <c r="H9" s="397"/>
    </row>
    <row r="10" spans="1:8">
      <c r="B10" s="762"/>
      <c r="C10" s="763" t="e">
        <f t="shared" si="0"/>
        <v>#VALUE!</v>
      </c>
      <c r="D10" s="761" t="e">
        <f>'VAN TIR'!L39</f>
        <v>#VALUE!</v>
      </c>
      <c r="E10" s="187" t="s">
        <v>456</v>
      </c>
    </row>
    <row r="11" spans="1:8" ht="14" thickBot="1">
      <c r="A11" s="353" t="s">
        <v>188</v>
      </c>
      <c r="B11" s="764"/>
      <c r="C11" s="765" t="e">
        <f t="shared" si="0"/>
        <v>#REF!</v>
      </c>
      <c r="D11" s="639">
        <f>D9+E4</f>
        <v>1.18</v>
      </c>
    </row>
    <row r="12" spans="1:8">
      <c r="B12" s="766"/>
      <c r="C12" s="767">
        <v>0</v>
      </c>
      <c r="D12" s="768">
        <v>1</v>
      </c>
      <c r="E12" s="768">
        <v>2</v>
      </c>
      <c r="F12" s="768">
        <v>3</v>
      </c>
      <c r="G12" s="768">
        <v>4</v>
      </c>
      <c r="H12" s="365">
        <v>5</v>
      </c>
    </row>
    <row r="13" spans="1:8">
      <c r="B13" s="300"/>
      <c r="C13" s="300"/>
      <c r="D13" s="397"/>
      <c r="E13" s="397"/>
      <c r="F13" s="397"/>
      <c r="G13" s="397"/>
      <c r="H13" s="413"/>
    </row>
    <row r="14" spans="1:8" ht="14" thickBot="1">
      <c r="B14" s="769" t="e">
        <v>#REF!</v>
      </c>
      <c r="C14" s="770">
        <f>'VAN TIR'!B37</f>
        <v>-6975473.1371430131</v>
      </c>
      <c r="D14" s="615" t="e">
        <f>'VAN TIR'!C37</f>
        <v>#REF!</v>
      </c>
      <c r="E14" s="615" t="e">
        <f>'VAN TIR'!D37</f>
        <v>#REF!</v>
      </c>
      <c r="F14" s="615" t="e">
        <f>'VAN TIR'!E37</f>
        <v>#REF!</v>
      </c>
      <c r="G14" s="615" t="e">
        <f>'VAN TIR'!F37</f>
        <v>#REF!</v>
      </c>
      <c r="H14" s="616" t="e">
        <f>'VAN TIR'!G37</f>
        <v>#REF!</v>
      </c>
    </row>
    <row r="35" spans="1:13">
      <c r="J35" s="1404"/>
      <c r="K35" s="1405"/>
      <c r="L35" s="1405"/>
      <c r="M35" s="771"/>
    </row>
    <row r="43" spans="1:13">
      <c r="A43" s="397"/>
      <c r="B43" s="397"/>
      <c r="C43" s="397"/>
      <c r="D43" s="397"/>
      <c r="E43" s="397"/>
      <c r="F43" s="397"/>
    </row>
    <row r="44" spans="1:13">
      <c r="A44" s="397"/>
      <c r="B44" s="397"/>
      <c r="C44" s="397"/>
      <c r="D44" s="397"/>
      <c r="E44" s="397"/>
      <c r="F44" s="397"/>
    </row>
    <row r="45" spans="1:13">
      <c r="A45" s="397"/>
      <c r="B45" s="397"/>
      <c r="C45" s="397"/>
      <c r="D45" s="397"/>
      <c r="E45" s="397"/>
      <c r="F45" s="397"/>
    </row>
    <row r="46" spans="1:13">
      <c r="A46" s="397"/>
      <c r="B46" s="397"/>
      <c r="C46" s="397"/>
      <c r="D46" s="397"/>
      <c r="E46" s="397"/>
      <c r="F46" s="397"/>
    </row>
    <row r="47" spans="1:13">
      <c r="A47" s="397"/>
      <c r="B47" s="397"/>
      <c r="C47" s="397"/>
      <c r="D47" s="397"/>
      <c r="E47" s="397"/>
      <c r="F47" s="397"/>
    </row>
    <row r="48" spans="1:13">
      <c r="A48" s="192"/>
      <c r="B48" s="397"/>
      <c r="C48" s="397"/>
      <c r="D48" s="397"/>
      <c r="E48" s="397"/>
      <c r="F48" s="397"/>
    </row>
    <row r="49" spans="1:6">
      <c r="A49" s="192"/>
      <c r="B49" s="397"/>
      <c r="C49" s="397"/>
      <c r="D49" s="397"/>
      <c r="E49" s="772"/>
      <c r="F49" s="397"/>
    </row>
    <row r="50" spans="1:6">
      <c r="A50" s="192"/>
      <c r="B50" s="397"/>
      <c r="C50" s="397"/>
      <c r="D50" s="773"/>
      <c r="E50" s="397"/>
      <c r="F50" s="397"/>
    </row>
    <row r="51" spans="1:6">
      <c r="A51" s="192"/>
      <c r="B51" s="397"/>
      <c r="C51" s="397"/>
      <c r="D51" s="397"/>
      <c r="E51" s="397"/>
      <c r="F51" s="397"/>
    </row>
    <row r="52" spans="1:6">
      <c r="A52" s="192"/>
      <c r="B52" s="397"/>
      <c r="C52" s="397"/>
      <c r="D52" s="397"/>
      <c r="E52" s="772"/>
      <c r="F52" s="397"/>
    </row>
    <row r="53" spans="1:6">
      <c r="A53" s="192"/>
      <c r="B53" s="397"/>
      <c r="C53" s="397"/>
      <c r="D53" s="773"/>
      <c r="E53" s="397"/>
      <c r="F53" s="397"/>
    </row>
    <row r="54" spans="1:6">
      <c r="A54" s="192"/>
      <c r="B54" s="397"/>
      <c r="C54" s="397"/>
      <c r="D54" s="397"/>
      <c r="E54" s="397"/>
      <c r="F54" s="397"/>
    </row>
    <row r="55" spans="1:6">
      <c r="A55" s="192"/>
      <c r="B55" s="397"/>
      <c r="C55" s="397"/>
      <c r="D55" s="397"/>
      <c r="E55" s="772"/>
      <c r="F55" s="397"/>
    </row>
    <row r="56" spans="1:6">
      <c r="A56" s="192"/>
      <c r="B56" s="397"/>
      <c r="C56" s="397"/>
      <c r="D56" s="773"/>
      <c r="E56" s="397"/>
      <c r="F56" s="397"/>
    </row>
    <row r="57" spans="1:6">
      <c r="A57" s="192"/>
      <c r="B57" s="397"/>
      <c r="C57" s="397"/>
      <c r="D57" s="397"/>
      <c r="E57" s="397"/>
      <c r="F57" s="397"/>
    </row>
    <row r="58" spans="1:6">
      <c r="A58" s="192"/>
      <c r="B58" s="397"/>
      <c r="C58" s="397"/>
      <c r="D58" s="397"/>
      <c r="E58" s="772"/>
      <c r="F58" s="397"/>
    </row>
    <row r="59" spans="1:6">
      <c r="A59" s="397"/>
      <c r="B59" s="397"/>
      <c r="C59" s="397"/>
      <c r="D59" s="773"/>
      <c r="E59" s="397"/>
      <c r="F59" s="397"/>
    </row>
    <row r="60" spans="1:6">
      <c r="A60" s="397"/>
      <c r="B60" s="397"/>
      <c r="C60" s="397"/>
      <c r="D60" s="397"/>
      <c r="E60" s="397"/>
      <c r="F60" s="397"/>
    </row>
    <row r="61" spans="1:6">
      <c r="A61" s="397"/>
      <c r="B61" s="397"/>
      <c r="C61" s="397"/>
      <c r="D61" s="397"/>
      <c r="E61" s="397"/>
      <c r="F61" s="397"/>
    </row>
    <row r="62" spans="1:6">
      <c r="A62" s="397"/>
      <c r="B62" s="397"/>
      <c r="C62" s="397"/>
      <c r="D62" s="397"/>
      <c r="E62" s="397"/>
      <c r="F62" s="397"/>
    </row>
    <row r="63" spans="1:6">
      <c r="A63" s="397"/>
      <c r="B63" s="397"/>
      <c r="C63" s="397"/>
      <c r="D63" s="397"/>
      <c r="E63" s="397"/>
      <c r="F63" s="397"/>
    </row>
    <row r="64" spans="1:6">
      <c r="A64" s="397"/>
      <c r="B64" s="397"/>
      <c r="C64" s="397"/>
      <c r="D64" s="397"/>
      <c r="E64" s="397"/>
      <c r="F64" s="397"/>
    </row>
    <row r="65" spans="1:6">
      <c r="A65" s="192"/>
      <c r="B65" s="397"/>
      <c r="C65" s="397"/>
      <c r="D65" s="397"/>
      <c r="E65" s="397"/>
      <c r="F65" s="397"/>
    </row>
    <row r="66" spans="1:6">
      <c r="A66" s="192"/>
      <c r="B66" s="397"/>
      <c r="C66" s="397"/>
      <c r="D66" s="397"/>
      <c r="E66" s="772"/>
      <c r="F66" s="397"/>
    </row>
    <row r="67" spans="1:6">
      <c r="A67" s="192"/>
      <c r="B67" s="397"/>
      <c r="C67" s="397"/>
      <c r="D67" s="774"/>
      <c r="E67" s="397"/>
      <c r="F67" s="397"/>
    </row>
    <row r="68" spans="1:6">
      <c r="A68" s="192"/>
      <c r="B68" s="397"/>
      <c r="C68" s="397"/>
      <c r="D68" s="397"/>
      <c r="E68" s="397"/>
      <c r="F68" s="397"/>
    </row>
    <row r="69" spans="1:6">
      <c r="A69" s="192"/>
      <c r="B69" s="397"/>
      <c r="C69" s="397"/>
      <c r="D69" s="397"/>
      <c r="E69" s="772"/>
      <c r="F69" s="397"/>
    </row>
    <row r="70" spans="1:6">
      <c r="A70" s="192"/>
      <c r="B70" s="397"/>
      <c r="C70" s="397"/>
      <c r="D70" s="397"/>
      <c r="E70" s="397"/>
      <c r="F70" s="397"/>
    </row>
    <row r="71" spans="1:6">
      <c r="A71" s="192"/>
      <c r="B71" s="397"/>
      <c r="C71" s="397"/>
      <c r="D71" s="397"/>
      <c r="E71" s="397"/>
      <c r="F71" s="397"/>
    </row>
    <row r="72" spans="1:6">
      <c r="A72" s="192"/>
      <c r="B72" s="397"/>
      <c r="C72" s="397"/>
      <c r="D72" s="397"/>
      <c r="E72" s="772"/>
      <c r="F72" s="397"/>
    </row>
    <row r="73" spans="1:6">
      <c r="A73" s="192"/>
      <c r="B73" s="397"/>
      <c r="C73" s="397"/>
      <c r="D73" s="397"/>
      <c r="E73" s="397"/>
      <c r="F73" s="397"/>
    </row>
    <row r="74" spans="1:6">
      <c r="A74" s="192"/>
      <c r="B74" s="397"/>
      <c r="C74" s="397"/>
      <c r="D74" s="397"/>
      <c r="E74" s="397"/>
      <c r="F74" s="397"/>
    </row>
    <row r="75" spans="1:6">
      <c r="A75" s="192"/>
      <c r="B75" s="397"/>
      <c r="C75" s="397"/>
      <c r="D75" s="397"/>
      <c r="E75" s="772"/>
      <c r="F75" s="397"/>
    </row>
    <row r="76" spans="1:6">
      <c r="A76" s="397"/>
      <c r="B76" s="397"/>
      <c r="C76" s="397"/>
      <c r="D76" s="397"/>
      <c r="E76" s="397"/>
      <c r="F76" s="397"/>
    </row>
    <row r="77" spans="1:6">
      <c r="A77" s="397"/>
      <c r="B77" s="397"/>
      <c r="C77" s="397"/>
      <c r="D77" s="397"/>
      <c r="E77" s="397"/>
      <c r="F77" s="397"/>
    </row>
    <row r="78" spans="1:6">
      <c r="A78" s="397"/>
      <c r="B78" s="397"/>
      <c r="C78" s="397"/>
      <c r="D78" s="397"/>
      <c r="E78" s="397"/>
      <c r="F78" s="397"/>
    </row>
    <row r="79" spans="1:6">
      <c r="A79" s="397"/>
      <c r="B79" s="397"/>
      <c r="C79" s="397"/>
      <c r="D79" s="397"/>
      <c r="E79" s="397"/>
      <c r="F79" s="397"/>
    </row>
    <row r="80" spans="1:6">
      <c r="A80" s="397"/>
      <c r="B80" s="397"/>
      <c r="C80" s="397"/>
      <c r="D80" s="397"/>
      <c r="E80" s="397"/>
      <c r="F80" s="397"/>
    </row>
    <row r="81" spans="1:6">
      <c r="A81" s="192"/>
      <c r="B81" s="397"/>
      <c r="C81" s="397"/>
      <c r="D81" s="397"/>
      <c r="E81" s="397"/>
      <c r="F81" s="397"/>
    </row>
    <row r="82" spans="1:6">
      <c r="A82" s="192"/>
      <c r="B82" s="397"/>
      <c r="C82" s="397"/>
      <c r="D82" s="397"/>
      <c r="E82" s="772"/>
      <c r="F82" s="397"/>
    </row>
    <row r="83" spans="1:6">
      <c r="A83" s="192"/>
      <c r="B83" s="397"/>
      <c r="C83" s="397"/>
      <c r="D83" s="774"/>
      <c r="E83" s="397"/>
      <c r="F83" s="397"/>
    </row>
    <row r="84" spans="1:6">
      <c r="A84" s="192"/>
      <c r="B84" s="397"/>
      <c r="C84" s="397"/>
      <c r="D84" s="397"/>
      <c r="E84" s="397"/>
      <c r="F84" s="397"/>
    </row>
    <row r="85" spans="1:6">
      <c r="A85" s="192"/>
      <c r="B85" s="397"/>
      <c r="C85" s="397"/>
      <c r="D85" s="397"/>
      <c r="E85" s="772"/>
      <c r="F85" s="397"/>
    </row>
    <row r="86" spans="1:6">
      <c r="A86" s="192"/>
      <c r="B86" s="397"/>
      <c r="C86" s="397"/>
      <c r="D86" s="397"/>
      <c r="E86" s="397"/>
      <c r="F86" s="397"/>
    </row>
    <row r="87" spans="1:6">
      <c r="A87" s="192"/>
      <c r="B87" s="397"/>
      <c r="C87" s="397"/>
      <c r="D87" s="397"/>
      <c r="E87" s="397"/>
      <c r="F87" s="397"/>
    </row>
    <row r="88" spans="1:6">
      <c r="A88" s="192"/>
      <c r="B88" s="397"/>
      <c r="C88" s="397"/>
      <c r="D88" s="397"/>
      <c r="E88" s="772"/>
      <c r="F88" s="397"/>
    </row>
    <row r="89" spans="1:6">
      <c r="A89" s="192"/>
      <c r="B89" s="397"/>
      <c r="C89" s="397"/>
      <c r="D89" s="397"/>
      <c r="E89" s="397"/>
      <c r="F89" s="397"/>
    </row>
    <row r="90" spans="1:6">
      <c r="A90" s="192"/>
      <c r="B90" s="397"/>
      <c r="C90" s="397"/>
      <c r="D90" s="397"/>
      <c r="E90" s="397"/>
      <c r="F90" s="397"/>
    </row>
    <row r="91" spans="1:6">
      <c r="A91" s="192"/>
      <c r="B91" s="397"/>
      <c r="C91" s="397"/>
      <c r="D91" s="397"/>
      <c r="E91" s="772"/>
      <c r="F91" s="397"/>
    </row>
    <row r="92" spans="1:6">
      <c r="A92" s="397"/>
      <c r="B92" s="397"/>
      <c r="C92" s="397"/>
      <c r="D92" s="397"/>
      <c r="E92" s="397"/>
      <c r="F92" s="397"/>
    </row>
    <row r="93" spans="1:6">
      <c r="A93" s="397"/>
      <c r="B93" s="397"/>
      <c r="C93" s="397"/>
      <c r="D93" s="397"/>
      <c r="E93" s="397"/>
      <c r="F93" s="397"/>
    </row>
    <row r="94" spans="1:6">
      <c r="A94" s="397"/>
      <c r="B94" s="397"/>
      <c r="C94" s="397"/>
      <c r="D94" s="397"/>
      <c r="E94" s="397"/>
      <c r="F94" s="397"/>
    </row>
    <row r="95" spans="1:6">
      <c r="A95" s="397"/>
      <c r="B95" s="397"/>
      <c r="C95" s="397"/>
      <c r="D95" s="397"/>
      <c r="E95" s="397"/>
      <c r="F95" s="397"/>
    </row>
    <row r="96" spans="1:6">
      <c r="A96" s="397"/>
      <c r="B96" s="397"/>
      <c r="C96" s="397"/>
      <c r="D96" s="397"/>
      <c r="E96" s="397"/>
      <c r="F96" s="397"/>
    </row>
    <row r="97" spans="1:6">
      <c r="A97" s="397"/>
      <c r="B97" s="397"/>
      <c r="C97" s="397"/>
      <c r="D97" s="397"/>
      <c r="E97" s="397"/>
      <c r="F97" s="397"/>
    </row>
    <row r="98" spans="1:6">
      <c r="A98" s="397"/>
      <c r="B98" s="397"/>
      <c r="C98" s="397"/>
      <c r="D98" s="397"/>
      <c r="E98" s="397"/>
      <c r="F98" s="397"/>
    </row>
    <row r="99" spans="1:6">
      <c r="A99" s="397"/>
      <c r="B99" s="397"/>
      <c r="C99" s="397"/>
      <c r="D99" s="397"/>
      <c r="E99" s="397"/>
      <c r="F99" s="397"/>
    </row>
    <row r="100" spans="1:6">
      <c r="A100" s="397"/>
      <c r="B100" s="397"/>
      <c r="C100" s="397"/>
      <c r="D100" s="397"/>
      <c r="E100" s="397"/>
      <c r="F100" s="397"/>
    </row>
    <row r="101" spans="1:6">
      <c r="A101" s="397"/>
      <c r="B101" s="397"/>
      <c r="C101" s="397"/>
      <c r="D101" s="397"/>
      <c r="E101" s="397"/>
      <c r="F101" s="397"/>
    </row>
    <row r="102" spans="1:6">
      <c r="A102" s="397"/>
      <c r="B102" s="397"/>
      <c r="C102" s="397"/>
      <c r="D102" s="397"/>
      <c r="E102" s="397"/>
      <c r="F102" s="397"/>
    </row>
    <row r="103" spans="1:6">
      <c r="A103" s="397"/>
      <c r="B103" s="397"/>
      <c r="C103" s="397"/>
      <c r="D103" s="397"/>
      <c r="E103" s="397"/>
      <c r="F103" s="397"/>
    </row>
    <row r="104" spans="1:6">
      <c r="A104" s="192"/>
      <c r="B104" s="397"/>
      <c r="C104" s="397"/>
      <c r="D104" s="397"/>
      <c r="E104" s="397"/>
      <c r="F104" s="397"/>
    </row>
    <row r="105" spans="1:6">
      <c r="A105" s="192"/>
      <c r="B105" s="397"/>
      <c r="C105" s="397"/>
      <c r="D105" s="397"/>
      <c r="E105" s="772"/>
      <c r="F105" s="397"/>
    </row>
    <row r="106" spans="1:6">
      <c r="A106" s="192"/>
      <c r="B106" s="397"/>
      <c r="C106" s="397"/>
      <c r="D106" s="773"/>
      <c r="E106" s="397"/>
      <c r="F106" s="397"/>
    </row>
    <row r="107" spans="1:6">
      <c r="A107" s="192"/>
      <c r="B107" s="397"/>
      <c r="C107" s="397"/>
      <c r="D107" s="397"/>
      <c r="E107" s="397"/>
      <c r="F107" s="397"/>
    </row>
    <row r="108" spans="1:6">
      <c r="A108" s="192"/>
      <c r="B108" s="397"/>
      <c r="C108" s="397"/>
      <c r="D108" s="397"/>
      <c r="E108" s="772"/>
      <c r="F108" s="397"/>
    </row>
    <row r="109" spans="1:6">
      <c r="A109" s="192"/>
      <c r="B109" s="397"/>
      <c r="C109" s="397"/>
      <c r="D109" s="773"/>
      <c r="E109" s="397"/>
      <c r="F109" s="397"/>
    </row>
    <row r="110" spans="1:6">
      <c r="A110" s="192"/>
      <c r="B110" s="397"/>
      <c r="C110" s="397"/>
      <c r="D110" s="397"/>
      <c r="E110" s="397"/>
      <c r="F110" s="397"/>
    </row>
    <row r="111" spans="1:6">
      <c r="A111" s="192"/>
      <c r="B111" s="397"/>
      <c r="C111" s="397"/>
      <c r="D111" s="397"/>
      <c r="E111" s="772"/>
      <c r="F111" s="397"/>
    </row>
    <row r="112" spans="1:6">
      <c r="A112" s="192"/>
      <c r="B112" s="397"/>
      <c r="C112" s="397"/>
      <c r="D112" s="773"/>
      <c r="E112" s="397"/>
      <c r="F112" s="397"/>
    </row>
    <row r="113" spans="1:6">
      <c r="A113" s="192"/>
      <c r="B113" s="397"/>
      <c r="C113" s="397"/>
      <c r="D113" s="397"/>
      <c r="E113" s="397"/>
      <c r="F113" s="397"/>
    </row>
    <row r="114" spans="1:6">
      <c r="A114" s="192"/>
      <c r="B114" s="397"/>
      <c r="C114" s="397"/>
      <c r="D114" s="397"/>
      <c r="E114" s="772"/>
      <c r="F114" s="397"/>
    </row>
    <row r="115" spans="1:6">
      <c r="A115" s="397"/>
      <c r="B115" s="397"/>
      <c r="C115" s="397"/>
      <c r="D115" s="773"/>
      <c r="E115" s="397"/>
      <c r="F115" s="397"/>
    </row>
    <row r="116" spans="1:6">
      <c r="A116" s="397"/>
      <c r="B116" s="397"/>
      <c r="C116" s="397"/>
      <c r="D116" s="397"/>
      <c r="E116" s="397"/>
      <c r="F116" s="397"/>
    </row>
    <row r="117" spans="1:6">
      <c r="A117" s="397"/>
      <c r="B117" s="397"/>
      <c r="C117" s="397"/>
      <c r="D117" s="397"/>
      <c r="E117" s="397"/>
      <c r="F117" s="397"/>
    </row>
  </sheetData>
  <mergeCells count="1">
    <mergeCell ref="J35:L35"/>
  </mergeCells>
  <phoneticPr fontId="0" type="noConversion"/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G33"/>
  <sheetViews>
    <sheetView zoomScale="110" zoomScaleNormal="110" workbookViewId="0">
      <selection activeCell="A2" sqref="A2:D33"/>
    </sheetView>
  </sheetViews>
  <sheetFormatPr baseColWidth="10" defaultColWidth="11" defaultRowHeight="13"/>
  <cols>
    <col min="1" max="1" width="39" style="187" customWidth="1"/>
    <col min="2" max="2" width="13" style="187" bestFit="1" customWidth="1"/>
    <col min="3" max="3" width="12.5" style="187" bestFit="1" customWidth="1"/>
    <col min="4" max="4" width="16.1640625" style="187" customWidth="1"/>
    <col min="5" max="16384" width="11" style="187"/>
  </cols>
  <sheetData>
    <row r="1" spans="1:7" ht="14" thickBot="1">
      <c r="A1" s="1145">
        <f>INVERSION!A6</f>
        <v>0</v>
      </c>
      <c r="B1" s="1146"/>
      <c r="C1" s="1146"/>
      <c r="D1" s="1147"/>
    </row>
    <row r="2" spans="1:7" ht="19.5" customHeight="1" thickBot="1">
      <c r="A2" s="1142" t="s">
        <v>316</v>
      </c>
      <c r="B2" s="1143"/>
      <c r="C2" s="1143"/>
      <c r="D2" s="1144"/>
      <c r="F2" s="294" t="s">
        <v>369</v>
      </c>
      <c r="G2" s="187" t="s">
        <v>371</v>
      </c>
    </row>
    <row r="3" spans="1:7" ht="13.5" customHeight="1">
      <c r="A3" s="295" t="s">
        <v>82</v>
      </c>
      <c r="B3" s="262"/>
      <c r="C3" s="262"/>
      <c r="D3" s="296"/>
    </row>
    <row r="4" spans="1:7">
      <c r="A4" s="297" t="s">
        <v>83</v>
      </c>
      <c r="B4" s="262"/>
      <c r="C4" s="262"/>
      <c r="D4" s="296"/>
    </row>
    <row r="5" spans="1:7">
      <c r="A5" s="218" t="s">
        <v>84</v>
      </c>
      <c r="B5" s="276">
        <f>INVERSION!D46</f>
        <v>318579.1371430133</v>
      </c>
      <c r="C5" s="262"/>
      <c r="D5" s="296"/>
    </row>
    <row r="6" spans="1:7">
      <c r="A6" s="218" t="s">
        <v>385</v>
      </c>
      <c r="B6" s="276">
        <f>INVERSION!D47+INVERSION!D48</f>
        <v>0</v>
      </c>
      <c r="C6" s="262"/>
      <c r="D6" s="296"/>
    </row>
    <row r="7" spans="1:7">
      <c r="A7" s="298" t="s">
        <v>85</v>
      </c>
      <c r="B7" s="262"/>
      <c r="C7" s="276">
        <f>SUM(B4:B6)</f>
        <v>318579.1371430133</v>
      </c>
      <c r="D7" s="299"/>
    </row>
    <row r="8" spans="1:7">
      <c r="A8" s="300" t="s">
        <v>31</v>
      </c>
      <c r="B8" s="262"/>
      <c r="C8" s="262"/>
      <c r="D8" s="296"/>
    </row>
    <row r="9" spans="1:7">
      <c r="A9" s="297" t="s">
        <v>86</v>
      </c>
      <c r="B9" s="262"/>
      <c r="C9" s="262"/>
      <c r="D9" s="296"/>
    </row>
    <row r="10" spans="1:7">
      <c r="A10" s="300" t="s">
        <v>296</v>
      </c>
      <c r="B10" s="301">
        <f>INVERSION!D39</f>
        <v>6500000</v>
      </c>
      <c r="C10" s="262"/>
      <c r="D10" s="296"/>
    </row>
    <row r="11" spans="1:7">
      <c r="A11" s="218" t="s">
        <v>297</v>
      </c>
      <c r="B11" s="302">
        <f>INVERSION!D15</f>
        <v>0</v>
      </c>
      <c r="C11" s="262"/>
      <c r="D11" s="296"/>
    </row>
    <row r="12" spans="1:7">
      <c r="A12" s="218" t="s">
        <v>300</v>
      </c>
      <c r="B12" s="302">
        <f>INVERSION!D36</f>
        <v>23700</v>
      </c>
      <c r="C12" s="262"/>
      <c r="D12" s="296"/>
    </row>
    <row r="13" spans="1:7">
      <c r="A13" s="303" t="s">
        <v>298</v>
      </c>
      <c r="B13" s="304">
        <f>INVERSION!D42</f>
        <v>0</v>
      </c>
      <c r="C13" s="305"/>
      <c r="D13" s="296"/>
    </row>
    <row r="14" spans="1:7">
      <c r="A14" s="303" t="s">
        <v>299</v>
      </c>
      <c r="B14" s="304">
        <f>INVERSION!D23</f>
        <v>104000</v>
      </c>
      <c r="C14" s="305"/>
      <c r="D14" s="296"/>
    </row>
    <row r="15" spans="1:7" ht="14" thickBot="1">
      <c r="A15" s="306"/>
      <c r="B15" s="307"/>
      <c r="C15" s="305"/>
      <c r="D15" s="296"/>
    </row>
    <row r="16" spans="1:7">
      <c r="A16" s="298" t="s">
        <v>87</v>
      </c>
      <c r="B16" s="262"/>
      <c r="C16" s="302">
        <f>SUM(B10:B15)</f>
        <v>6627700</v>
      </c>
      <c r="D16" s="299"/>
    </row>
    <row r="17" spans="1:4">
      <c r="A17" s="308" t="s">
        <v>301</v>
      </c>
      <c r="B17" s="262"/>
      <c r="C17" s="276"/>
      <c r="D17" s="299"/>
    </row>
    <row r="18" spans="1:4">
      <c r="A18" s="218" t="str">
        <f>INVERSION!A51</f>
        <v>IMPI</v>
      </c>
      <c r="B18" s="276">
        <f>INVERSION!D51</f>
        <v>3194</v>
      </c>
      <c r="C18" s="276"/>
      <c r="D18" s="299"/>
    </row>
    <row r="19" spans="1:4">
      <c r="A19" s="218">
        <f>INVERSION!A56</f>
        <v>0</v>
      </c>
      <c r="B19" s="276">
        <f>INVERSION!D56</f>
        <v>0</v>
      </c>
      <c r="C19" s="276">
        <f>INVERSION!D57</f>
        <v>29194</v>
      </c>
      <c r="D19" s="299"/>
    </row>
    <row r="20" spans="1:4">
      <c r="A20" s="218"/>
      <c r="B20" s="262"/>
      <c r="C20" s="276"/>
      <c r="D20" s="299"/>
    </row>
    <row r="21" spans="1:4" ht="16">
      <c r="A21" s="319" t="s">
        <v>88</v>
      </c>
      <c r="B21" s="309"/>
      <c r="C21" s="309"/>
      <c r="D21" s="321">
        <f>SUM(C3:C19)</f>
        <v>6975473.1371430131</v>
      </c>
    </row>
    <row r="22" spans="1:4">
      <c r="A22" s="300"/>
      <c r="B22" s="310"/>
      <c r="C22" s="262"/>
      <c r="D22" s="299"/>
    </row>
    <row r="23" spans="1:4">
      <c r="A23" s="295" t="s">
        <v>89</v>
      </c>
      <c r="B23" s="262"/>
      <c r="C23" s="262"/>
      <c r="D23" s="311"/>
    </row>
    <row r="24" spans="1:4">
      <c r="A24" s="297" t="s">
        <v>90</v>
      </c>
      <c r="B24" s="262"/>
      <c r="C24" s="262"/>
      <c r="D24" s="296"/>
    </row>
    <row r="25" spans="1:4" ht="14" thickBot="1">
      <c r="A25" s="218" t="s">
        <v>289</v>
      </c>
      <c r="B25" s="312">
        <f>INVERSION!$B$64</f>
        <v>0</v>
      </c>
      <c r="C25" s="262"/>
      <c r="D25" s="296"/>
    </row>
    <row r="26" spans="1:4">
      <c r="A26" s="823" t="s">
        <v>91</v>
      </c>
      <c r="B26" s="262"/>
      <c r="C26" s="313">
        <f>SUM(B24:B25)</f>
        <v>0</v>
      </c>
      <c r="D26" s="296"/>
    </row>
    <row r="27" spans="1:4">
      <c r="A27" s="306"/>
      <c r="B27" s="262"/>
      <c r="C27" s="314"/>
      <c r="D27" s="296"/>
    </row>
    <row r="28" spans="1:4">
      <c r="A28" s="315" t="s">
        <v>393</v>
      </c>
      <c r="B28" s="262"/>
      <c r="C28" s="262"/>
      <c r="D28" s="296"/>
    </row>
    <row r="29" spans="1:4">
      <c r="A29" s="316"/>
      <c r="B29" s="276"/>
      <c r="C29" s="262"/>
      <c r="D29" s="296"/>
    </row>
    <row r="30" spans="1:4" ht="14" thickBot="1">
      <c r="A30" s="300" t="s">
        <v>93</v>
      </c>
      <c r="B30" s="312">
        <f>INVERSION!$B$65</f>
        <v>6975473.1371430131</v>
      </c>
      <c r="C30" s="262"/>
      <c r="D30" s="296"/>
    </row>
    <row r="31" spans="1:4" ht="14" thickBot="1">
      <c r="A31" s="823" t="s">
        <v>94</v>
      </c>
      <c r="B31" s="262"/>
      <c r="C31" s="317">
        <f>SUM(B28:B30)</f>
        <v>6975473.1371430131</v>
      </c>
      <c r="D31" s="296"/>
    </row>
    <row r="32" spans="1:4" ht="14" thickTop="1">
      <c r="A32" s="300"/>
      <c r="B32" s="262"/>
      <c r="C32" s="262"/>
      <c r="D32" s="299"/>
    </row>
    <row r="33" spans="1:4" ht="17" thickBot="1">
      <c r="A33" s="320" t="s">
        <v>95</v>
      </c>
      <c r="B33" s="318"/>
      <c r="C33" s="318"/>
      <c r="D33" s="322">
        <f>SUM(C26+C31)</f>
        <v>6975473.1371430131</v>
      </c>
    </row>
  </sheetData>
  <mergeCells count="2">
    <mergeCell ref="A2:D2"/>
    <mergeCell ref="A1:D1"/>
  </mergeCells>
  <phoneticPr fontId="0" type="noConversion"/>
  <pageMargins left="0.75" right="0.75" top="1" bottom="1" header="0" footer="0"/>
  <pageSetup paperSize="9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K75"/>
  <sheetViews>
    <sheetView topLeftCell="A12" zoomScale="140" zoomScaleNormal="140" workbookViewId="0">
      <selection activeCell="E37" sqref="E37"/>
    </sheetView>
  </sheetViews>
  <sheetFormatPr baseColWidth="10" defaultColWidth="11" defaultRowHeight="13"/>
  <cols>
    <col min="1" max="1" width="4.83203125" style="187" customWidth="1"/>
    <col min="2" max="2" width="8.5" style="187" customWidth="1"/>
    <col min="3" max="3" width="11.1640625" style="187" customWidth="1"/>
    <col min="4" max="4" width="7.1640625" style="187" customWidth="1"/>
    <col min="5" max="5" width="13.1640625" style="187" customWidth="1"/>
    <col min="6" max="6" width="11.6640625" style="187" customWidth="1"/>
    <col min="7" max="8" width="12.83203125" style="187" customWidth="1"/>
    <col min="9" max="9" width="14.83203125" style="187" customWidth="1"/>
    <col min="10" max="10" width="14.5" style="187" customWidth="1"/>
    <col min="11" max="11" width="14.5" style="187" bestFit="1" customWidth="1"/>
    <col min="12" max="16384" width="11" style="187"/>
  </cols>
  <sheetData>
    <row r="1" spans="1:11" ht="19" thickBot="1">
      <c r="A1" s="323"/>
      <c r="B1" s="1148">
        <f>INVERSION!A6</f>
        <v>0</v>
      </c>
      <c r="C1" s="1149"/>
      <c r="D1" s="1149"/>
      <c r="E1" s="1149"/>
      <c r="F1" s="1149"/>
      <c r="G1" s="1149"/>
      <c r="H1" s="1150"/>
      <c r="I1" s="789"/>
      <c r="J1" s="789"/>
      <c r="K1" s="790"/>
    </row>
    <row r="2" spans="1:11" ht="19" thickBot="1">
      <c r="B2" s="324"/>
      <c r="C2" s="325"/>
      <c r="D2" s="325"/>
      <c r="E2" s="325"/>
      <c r="F2" s="325"/>
      <c r="G2" s="325"/>
      <c r="H2" s="326"/>
      <c r="I2" s="327"/>
      <c r="J2" s="327"/>
      <c r="K2" s="791"/>
    </row>
    <row r="3" spans="1:11" ht="19" thickBot="1">
      <c r="B3" s="1154" t="s">
        <v>460</v>
      </c>
      <c r="C3" s="1155"/>
      <c r="D3" s="1155"/>
      <c r="E3" s="1155"/>
      <c r="F3" s="1155"/>
      <c r="G3" s="1155"/>
      <c r="H3" s="1156"/>
      <c r="I3" s="327"/>
      <c r="J3" s="327"/>
      <c r="K3" s="791"/>
    </row>
    <row r="4" spans="1:11" ht="18">
      <c r="B4" s="792"/>
      <c r="C4" s="327"/>
      <c r="D4" s="235" t="s">
        <v>192</v>
      </c>
      <c r="E4" s="235" t="s">
        <v>208</v>
      </c>
      <c r="F4" s="328" t="s">
        <v>209</v>
      </c>
      <c r="G4" s="329">
        <v>72</v>
      </c>
      <c r="H4" s="327"/>
      <c r="I4" s="327"/>
      <c r="J4" s="327"/>
      <c r="K4" s="791"/>
    </row>
    <row r="5" spans="1:11" ht="18">
      <c r="B5" s="403"/>
      <c r="C5" s="327"/>
      <c r="D5" s="327"/>
      <c r="E5" s="1157" t="s">
        <v>96</v>
      </c>
      <c r="F5" s="1157"/>
      <c r="G5" s="330">
        <v>0.12</v>
      </c>
      <c r="H5" s="327"/>
      <c r="I5" s="327"/>
      <c r="J5" s="327"/>
      <c r="K5" s="296"/>
    </row>
    <row r="6" spans="1:11">
      <c r="B6" s="403"/>
      <c r="C6" s="262"/>
      <c r="D6" s="235" t="s">
        <v>204</v>
      </c>
      <c r="E6" s="1157" t="s">
        <v>205</v>
      </c>
      <c r="F6" s="1157"/>
      <c r="G6" s="331">
        <f>G5/12</f>
        <v>0.01</v>
      </c>
      <c r="H6" s="793"/>
      <c r="I6" s="794"/>
      <c r="J6" s="795"/>
      <c r="K6" s="436"/>
    </row>
    <row r="7" spans="1:11">
      <c r="B7" s="403"/>
      <c r="C7" s="262"/>
      <c r="D7" s="235" t="s">
        <v>206</v>
      </c>
      <c r="E7" s="1157" t="s">
        <v>207</v>
      </c>
      <c r="F7" s="1157"/>
      <c r="G7" s="332">
        <f>INVERSION!B64</f>
        <v>0</v>
      </c>
      <c r="H7" s="794"/>
      <c r="I7" s="794"/>
      <c r="J7" s="794"/>
      <c r="K7" s="296"/>
    </row>
    <row r="8" spans="1:11">
      <c r="B8" s="403"/>
      <c r="C8" s="262"/>
      <c r="D8" s="235" t="s">
        <v>210</v>
      </c>
      <c r="E8" s="333"/>
      <c r="F8" s="333" t="s">
        <v>9</v>
      </c>
      <c r="G8" s="332">
        <f>G7</f>
        <v>0</v>
      </c>
      <c r="H8" s="794"/>
      <c r="I8" s="794"/>
      <c r="J8" s="794"/>
      <c r="K8" s="296"/>
    </row>
    <row r="9" spans="1:11">
      <c r="B9" s="403"/>
      <c r="C9" s="262"/>
      <c r="D9" s="235" t="s">
        <v>211</v>
      </c>
      <c r="E9" s="333"/>
      <c r="F9" s="333" t="s">
        <v>212</v>
      </c>
      <c r="G9" s="332">
        <f>G8/G4</f>
        <v>0</v>
      </c>
      <c r="H9" s="794"/>
      <c r="I9" s="794"/>
      <c r="J9" s="794"/>
      <c r="K9" s="296"/>
    </row>
    <row r="10" spans="1:11">
      <c r="A10" s="305"/>
      <c r="B10" s="403"/>
      <c r="C10" s="262"/>
      <c r="D10" s="235"/>
      <c r="E10" s="333"/>
      <c r="F10" s="333"/>
      <c r="G10" s="796"/>
      <c r="H10" s="794"/>
      <c r="I10" s="794"/>
      <c r="J10" s="794"/>
      <c r="K10" s="296"/>
    </row>
    <row r="11" spans="1:11" ht="14" thickBot="1">
      <c r="A11" s="305"/>
      <c r="B11" s="403"/>
      <c r="C11" s="262"/>
      <c r="D11" s="262"/>
      <c r="E11" s="333"/>
      <c r="F11" s="333"/>
      <c r="G11" s="797"/>
      <c r="H11" s="794"/>
      <c r="I11" s="794"/>
      <c r="J11" s="794"/>
      <c r="K11" s="296"/>
    </row>
    <row r="12" spans="1:11" ht="14" thickBot="1">
      <c r="A12" s="305"/>
      <c r="B12" s="403"/>
      <c r="C12" s="262"/>
      <c r="D12" s="334" t="s">
        <v>192</v>
      </c>
      <c r="E12" s="334" t="s">
        <v>193</v>
      </c>
      <c r="F12" s="334" t="s">
        <v>194</v>
      </c>
      <c r="G12" s="335" t="s">
        <v>195</v>
      </c>
      <c r="H12" s="336" t="s">
        <v>196</v>
      </c>
      <c r="I12" s="337" t="s">
        <v>197</v>
      </c>
      <c r="J12" s="794"/>
      <c r="K12" s="296"/>
    </row>
    <row r="13" spans="1:11" ht="14" thickBot="1">
      <c r="B13" s="338"/>
      <c r="C13" s="339" t="s">
        <v>7</v>
      </c>
      <c r="D13" s="334" t="s">
        <v>198</v>
      </c>
      <c r="E13" s="334" t="s">
        <v>199</v>
      </c>
      <c r="F13" s="334" t="s">
        <v>200</v>
      </c>
      <c r="G13" s="334" t="s">
        <v>201</v>
      </c>
      <c r="H13" s="340" t="s">
        <v>202</v>
      </c>
      <c r="I13" s="334" t="s">
        <v>203</v>
      </c>
      <c r="J13" s="341" t="s">
        <v>97</v>
      </c>
      <c r="K13" s="342" t="s">
        <v>98</v>
      </c>
    </row>
    <row r="14" spans="1:11">
      <c r="B14" s="1151" t="s">
        <v>99</v>
      </c>
      <c r="C14" s="343" t="s">
        <v>100</v>
      </c>
      <c r="D14" s="344">
        <v>1</v>
      </c>
      <c r="E14" s="345">
        <f>G7</f>
        <v>0</v>
      </c>
      <c r="F14" s="346">
        <f>(E14*$G$6)</f>
        <v>0</v>
      </c>
      <c r="G14" s="347">
        <f>$G$9</f>
        <v>0</v>
      </c>
      <c r="H14" s="348">
        <f>F14+G14</f>
        <v>0</v>
      </c>
      <c r="I14" s="346">
        <f t="shared" ref="I14:I25" si="0">(E14-G14)</f>
        <v>0</v>
      </c>
      <c r="J14" s="349"/>
      <c r="K14" s="798"/>
    </row>
    <row r="15" spans="1:11">
      <c r="B15" s="1152"/>
      <c r="C15" s="343" t="s">
        <v>101</v>
      </c>
      <c r="D15" s="350">
        <v>2</v>
      </c>
      <c r="E15" s="351">
        <f>E14-G14</f>
        <v>0</v>
      </c>
      <c r="F15" s="346">
        <f t="shared" ref="F15:F25" si="1">(E15*$G$6)</f>
        <v>0</v>
      </c>
      <c r="G15" s="352">
        <f t="shared" ref="G15:G37" si="2">$G$9</f>
        <v>0</v>
      </c>
      <c r="H15" s="348">
        <f t="shared" ref="H15:H25" si="3">F15+G15</f>
        <v>0</v>
      </c>
      <c r="I15" s="346">
        <f t="shared" si="0"/>
        <v>0</v>
      </c>
      <c r="J15" s="349"/>
      <c r="K15" s="367"/>
    </row>
    <row r="16" spans="1:11">
      <c r="B16" s="1152"/>
      <c r="C16" s="343" t="s">
        <v>102</v>
      </c>
      <c r="D16" s="350">
        <v>3</v>
      </c>
      <c r="E16" s="351">
        <f t="shared" ref="E16:E25" si="4">E15-G15</f>
        <v>0</v>
      </c>
      <c r="F16" s="346">
        <f t="shared" si="1"/>
        <v>0</v>
      </c>
      <c r="G16" s="352">
        <f t="shared" si="2"/>
        <v>0</v>
      </c>
      <c r="H16" s="348">
        <f t="shared" si="3"/>
        <v>0</v>
      </c>
      <c r="I16" s="346">
        <f t="shared" si="0"/>
        <v>0</v>
      </c>
      <c r="J16" s="349"/>
      <c r="K16" s="367"/>
    </row>
    <row r="17" spans="2:11">
      <c r="B17" s="1152"/>
      <c r="C17" s="343" t="s">
        <v>103</v>
      </c>
      <c r="D17" s="350">
        <v>4</v>
      </c>
      <c r="E17" s="351">
        <f t="shared" si="4"/>
        <v>0</v>
      </c>
      <c r="F17" s="346">
        <f t="shared" si="1"/>
        <v>0</v>
      </c>
      <c r="G17" s="352">
        <f t="shared" si="2"/>
        <v>0</v>
      </c>
      <c r="H17" s="348">
        <f t="shared" si="3"/>
        <v>0</v>
      </c>
      <c r="I17" s="346">
        <f t="shared" si="0"/>
        <v>0</v>
      </c>
      <c r="J17" s="349"/>
      <c r="K17" s="367"/>
    </row>
    <row r="18" spans="2:11">
      <c r="B18" s="1152"/>
      <c r="C18" s="343" t="s">
        <v>104</v>
      </c>
      <c r="D18" s="350">
        <v>5</v>
      </c>
      <c r="E18" s="351">
        <f t="shared" si="4"/>
        <v>0</v>
      </c>
      <c r="F18" s="346">
        <f t="shared" si="1"/>
        <v>0</v>
      </c>
      <c r="G18" s="352">
        <f t="shared" si="2"/>
        <v>0</v>
      </c>
      <c r="H18" s="348">
        <f t="shared" si="3"/>
        <v>0</v>
      </c>
      <c r="I18" s="346">
        <f t="shared" si="0"/>
        <v>0</v>
      </c>
      <c r="J18" s="349"/>
      <c r="K18" s="367"/>
    </row>
    <row r="19" spans="2:11">
      <c r="B19" s="1152"/>
      <c r="C19" s="343" t="s">
        <v>105</v>
      </c>
      <c r="D19" s="354">
        <v>6</v>
      </c>
      <c r="E19" s="351">
        <f t="shared" si="4"/>
        <v>0</v>
      </c>
      <c r="F19" s="346">
        <f t="shared" si="1"/>
        <v>0</v>
      </c>
      <c r="G19" s="352">
        <f t="shared" si="2"/>
        <v>0</v>
      </c>
      <c r="H19" s="348">
        <f t="shared" si="3"/>
        <v>0</v>
      </c>
      <c r="I19" s="346">
        <f t="shared" si="0"/>
        <v>0</v>
      </c>
      <c r="J19" s="349"/>
      <c r="K19" s="367"/>
    </row>
    <row r="20" spans="2:11">
      <c r="B20" s="1152"/>
      <c r="C20" s="343" t="s">
        <v>106</v>
      </c>
      <c r="D20" s="354">
        <v>7</v>
      </c>
      <c r="E20" s="351">
        <f t="shared" si="4"/>
        <v>0</v>
      </c>
      <c r="F20" s="346">
        <f t="shared" si="1"/>
        <v>0</v>
      </c>
      <c r="G20" s="352">
        <f t="shared" si="2"/>
        <v>0</v>
      </c>
      <c r="H20" s="348">
        <f t="shared" si="3"/>
        <v>0</v>
      </c>
      <c r="I20" s="346">
        <f t="shared" si="0"/>
        <v>0</v>
      </c>
      <c r="J20" s="349"/>
      <c r="K20" s="367"/>
    </row>
    <row r="21" spans="2:11">
      <c r="B21" s="1152"/>
      <c r="C21" s="343" t="s">
        <v>107</v>
      </c>
      <c r="D21" s="354">
        <v>8</v>
      </c>
      <c r="E21" s="351">
        <f t="shared" si="4"/>
        <v>0</v>
      </c>
      <c r="F21" s="346">
        <f t="shared" si="1"/>
        <v>0</v>
      </c>
      <c r="G21" s="352">
        <f t="shared" si="2"/>
        <v>0</v>
      </c>
      <c r="H21" s="348">
        <f t="shared" si="3"/>
        <v>0</v>
      </c>
      <c r="I21" s="346">
        <f t="shared" si="0"/>
        <v>0</v>
      </c>
      <c r="J21" s="349"/>
      <c r="K21" s="367"/>
    </row>
    <row r="22" spans="2:11">
      <c r="B22" s="1152"/>
      <c r="C22" s="343" t="s">
        <v>108</v>
      </c>
      <c r="D22" s="354">
        <v>9</v>
      </c>
      <c r="E22" s="351">
        <f t="shared" si="4"/>
        <v>0</v>
      </c>
      <c r="F22" s="346">
        <f t="shared" si="1"/>
        <v>0</v>
      </c>
      <c r="G22" s="352">
        <f t="shared" si="2"/>
        <v>0</v>
      </c>
      <c r="H22" s="348">
        <f t="shared" si="3"/>
        <v>0</v>
      </c>
      <c r="I22" s="346">
        <f t="shared" si="0"/>
        <v>0</v>
      </c>
      <c r="J22" s="349"/>
      <c r="K22" s="367"/>
    </row>
    <row r="23" spans="2:11">
      <c r="B23" s="1152"/>
      <c r="C23" s="343" t="s">
        <v>109</v>
      </c>
      <c r="D23" s="354">
        <v>10</v>
      </c>
      <c r="E23" s="351">
        <f t="shared" si="4"/>
        <v>0</v>
      </c>
      <c r="F23" s="346">
        <f t="shared" si="1"/>
        <v>0</v>
      </c>
      <c r="G23" s="352">
        <f t="shared" si="2"/>
        <v>0</v>
      </c>
      <c r="H23" s="348">
        <f t="shared" si="3"/>
        <v>0</v>
      </c>
      <c r="I23" s="346">
        <f t="shared" si="0"/>
        <v>0</v>
      </c>
      <c r="J23" s="349"/>
      <c r="K23" s="367"/>
    </row>
    <row r="24" spans="2:11">
      <c r="B24" s="1152"/>
      <c r="C24" s="343" t="s">
        <v>110</v>
      </c>
      <c r="D24" s="354">
        <v>11</v>
      </c>
      <c r="E24" s="351">
        <f t="shared" si="4"/>
        <v>0</v>
      </c>
      <c r="F24" s="346">
        <f t="shared" si="1"/>
        <v>0</v>
      </c>
      <c r="G24" s="352">
        <f t="shared" si="2"/>
        <v>0</v>
      </c>
      <c r="H24" s="348">
        <f t="shared" si="3"/>
        <v>0</v>
      </c>
      <c r="I24" s="346">
        <f t="shared" si="0"/>
        <v>0</v>
      </c>
      <c r="J24" s="349"/>
      <c r="K24" s="367"/>
    </row>
    <row r="25" spans="2:11" ht="14" thickBot="1">
      <c r="B25" s="1153"/>
      <c r="C25" s="355" t="s">
        <v>111</v>
      </c>
      <c r="D25" s="356">
        <v>12</v>
      </c>
      <c r="E25" s="357">
        <f t="shared" si="4"/>
        <v>0</v>
      </c>
      <c r="F25" s="358">
        <f t="shared" si="1"/>
        <v>0</v>
      </c>
      <c r="G25" s="359">
        <f t="shared" si="2"/>
        <v>0</v>
      </c>
      <c r="H25" s="360">
        <f t="shared" si="3"/>
        <v>0</v>
      </c>
      <c r="I25" s="358">
        <f t="shared" si="0"/>
        <v>0</v>
      </c>
      <c r="J25" s="361">
        <f>SUM(F14:F25)</f>
        <v>0</v>
      </c>
      <c r="K25" s="799">
        <f>SUM(G14:G25)</f>
        <v>0</v>
      </c>
    </row>
    <row r="26" spans="2:11" ht="14" thickBot="1">
      <c r="B26" s="1151" t="s">
        <v>112</v>
      </c>
      <c r="C26" s="362" t="s">
        <v>100</v>
      </c>
      <c r="D26" s="363">
        <v>13</v>
      </c>
      <c r="E26" s="357">
        <f t="shared" ref="E26:E37" si="5">E25-G25</f>
        <v>0</v>
      </c>
      <c r="F26" s="358">
        <f t="shared" ref="F26:F37" si="6">(E26*$G$6)</f>
        <v>0</v>
      </c>
      <c r="G26" s="359">
        <f t="shared" si="2"/>
        <v>0</v>
      </c>
      <c r="H26" s="360">
        <f t="shared" ref="H26:H37" si="7">F26+G26</f>
        <v>0</v>
      </c>
      <c r="I26" s="358">
        <f t="shared" ref="I26:I37" si="8">(E26-G26)</f>
        <v>0</v>
      </c>
      <c r="J26" s="364"/>
      <c r="K26" s="365"/>
    </row>
    <row r="27" spans="2:11" ht="14" thickBot="1">
      <c r="B27" s="1152"/>
      <c r="C27" s="343" t="s">
        <v>101</v>
      </c>
      <c r="D27" s="354">
        <v>14</v>
      </c>
      <c r="E27" s="357">
        <f t="shared" si="5"/>
        <v>0</v>
      </c>
      <c r="F27" s="358">
        <f t="shared" si="6"/>
        <v>0</v>
      </c>
      <c r="G27" s="359">
        <f t="shared" si="2"/>
        <v>0</v>
      </c>
      <c r="H27" s="360">
        <f t="shared" si="7"/>
        <v>0</v>
      </c>
      <c r="I27" s="358">
        <f t="shared" si="8"/>
        <v>0</v>
      </c>
      <c r="J27" s="366"/>
      <c r="K27" s="367"/>
    </row>
    <row r="28" spans="2:11" ht="14" thickBot="1">
      <c r="B28" s="1152"/>
      <c r="C28" s="343" t="s">
        <v>102</v>
      </c>
      <c r="D28" s="354">
        <v>15</v>
      </c>
      <c r="E28" s="357">
        <f t="shared" si="5"/>
        <v>0</v>
      </c>
      <c r="F28" s="358">
        <f t="shared" si="6"/>
        <v>0</v>
      </c>
      <c r="G28" s="359">
        <f t="shared" si="2"/>
        <v>0</v>
      </c>
      <c r="H28" s="360">
        <f t="shared" si="7"/>
        <v>0</v>
      </c>
      <c r="I28" s="358">
        <f t="shared" si="8"/>
        <v>0</v>
      </c>
      <c r="J28" s="366"/>
      <c r="K28" s="367"/>
    </row>
    <row r="29" spans="2:11" ht="14" thickBot="1">
      <c r="B29" s="1152"/>
      <c r="C29" s="343" t="s">
        <v>103</v>
      </c>
      <c r="D29" s="354">
        <v>16</v>
      </c>
      <c r="E29" s="357">
        <f t="shared" si="5"/>
        <v>0</v>
      </c>
      <c r="F29" s="358">
        <f t="shared" si="6"/>
        <v>0</v>
      </c>
      <c r="G29" s="359">
        <f t="shared" si="2"/>
        <v>0</v>
      </c>
      <c r="H29" s="360">
        <f t="shared" si="7"/>
        <v>0</v>
      </c>
      <c r="I29" s="358">
        <f t="shared" si="8"/>
        <v>0</v>
      </c>
      <c r="J29" s="366"/>
      <c r="K29" s="367"/>
    </row>
    <row r="30" spans="2:11" ht="14" thickBot="1">
      <c r="B30" s="1152"/>
      <c r="C30" s="343" t="s">
        <v>104</v>
      </c>
      <c r="D30" s="354">
        <v>17</v>
      </c>
      <c r="E30" s="357">
        <f t="shared" si="5"/>
        <v>0</v>
      </c>
      <c r="F30" s="358">
        <f t="shared" si="6"/>
        <v>0</v>
      </c>
      <c r="G30" s="359">
        <f t="shared" si="2"/>
        <v>0</v>
      </c>
      <c r="H30" s="360">
        <f t="shared" si="7"/>
        <v>0</v>
      </c>
      <c r="I30" s="358">
        <f t="shared" si="8"/>
        <v>0</v>
      </c>
      <c r="J30" s="366"/>
      <c r="K30" s="367"/>
    </row>
    <row r="31" spans="2:11" ht="14" thickBot="1">
      <c r="B31" s="1152"/>
      <c r="C31" s="343" t="s">
        <v>105</v>
      </c>
      <c r="D31" s="354">
        <v>18</v>
      </c>
      <c r="E31" s="357">
        <f t="shared" si="5"/>
        <v>0</v>
      </c>
      <c r="F31" s="358">
        <f t="shared" si="6"/>
        <v>0</v>
      </c>
      <c r="G31" s="359">
        <f t="shared" si="2"/>
        <v>0</v>
      </c>
      <c r="H31" s="360">
        <f t="shared" si="7"/>
        <v>0</v>
      </c>
      <c r="I31" s="358">
        <f t="shared" si="8"/>
        <v>0</v>
      </c>
      <c r="J31" s="366"/>
      <c r="K31" s="367"/>
    </row>
    <row r="32" spans="2:11" ht="14" thickBot="1">
      <c r="B32" s="1152"/>
      <c r="C32" s="343" t="s">
        <v>106</v>
      </c>
      <c r="D32" s="354">
        <v>19</v>
      </c>
      <c r="E32" s="357">
        <f t="shared" si="5"/>
        <v>0</v>
      </c>
      <c r="F32" s="358">
        <f t="shared" si="6"/>
        <v>0</v>
      </c>
      <c r="G32" s="359">
        <f t="shared" si="2"/>
        <v>0</v>
      </c>
      <c r="H32" s="360">
        <f t="shared" si="7"/>
        <v>0</v>
      </c>
      <c r="I32" s="358">
        <f t="shared" si="8"/>
        <v>0</v>
      </c>
      <c r="J32" s="366"/>
      <c r="K32" s="367"/>
    </row>
    <row r="33" spans="2:11" ht="14" thickBot="1">
      <c r="B33" s="1152"/>
      <c r="C33" s="343" t="s">
        <v>107</v>
      </c>
      <c r="D33" s="354">
        <v>20</v>
      </c>
      <c r="E33" s="357">
        <f t="shared" si="5"/>
        <v>0</v>
      </c>
      <c r="F33" s="358">
        <f t="shared" si="6"/>
        <v>0</v>
      </c>
      <c r="G33" s="359">
        <f t="shared" si="2"/>
        <v>0</v>
      </c>
      <c r="H33" s="360">
        <f t="shared" si="7"/>
        <v>0</v>
      </c>
      <c r="I33" s="358">
        <f t="shared" si="8"/>
        <v>0</v>
      </c>
      <c r="J33" s="366"/>
      <c r="K33" s="367"/>
    </row>
    <row r="34" spans="2:11" ht="14" thickBot="1">
      <c r="B34" s="1152"/>
      <c r="C34" s="343" t="s">
        <v>108</v>
      </c>
      <c r="D34" s="354">
        <v>21</v>
      </c>
      <c r="E34" s="357">
        <f t="shared" si="5"/>
        <v>0</v>
      </c>
      <c r="F34" s="358">
        <f t="shared" si="6"/>
        <v>0</v>
      </c>
      <c r="G34" s="359">
        <f t="shared" si="2"/>
        <v>0</v>
      </c>
      <c r="H34" s="360">
        <f t="shared" si="7"/>
        <v>0</v>
      </c>
      <c r="I34" s="358">
        <f t="shared" si="8"/>
        <v>0</v>
      </c>
      <c r="J34" s="366"/>
      <c r="K34" s="367"/>
    </row>
    <row r="35" spans="2:11" ht="14" thickBot="1">
      <c r="B35" s="1152"/>
      <c r="C35" s="343" t="s">
        <v>109</v>
      </c>
      <c r="D35" s="354">
        <v>22</v>
      </c>
      <c r="E35" s="357">
        <f t="shared" si="5"/>
        <v>0</v>
      </c>
      <c r="F35" s="358">
        <f t="shared" si="6"/>
        <v>0</v>
      </c>
      <c r="G35" s="359">
        <f t="shared" si="2"/>
        <v>0</v>
      </c>
      <c r="H35" s="360">
        <f t="shared" si="7"/>
        <v>0</v>
      </c>
      <c r="I35" s="358">
        <f t="shared" si="8"/>
        <v>0</v>
      </c>
      <c r="J35" s="366"/>
      <c r="K35" s="367"/>
    </row>
    <row r="36" spans="2:11" ht="14" thickBot="1">
      <c r="B36" s="1152"/>
      <c r="C36" s="343" t="s">
        <v>110</v>
      </c>
      <c r="D36" s="354">
        <v>23</v>
      </c>
      <c r="E36" s="357">
        <f t="shared" si="5"/>
        <v>0</v>
      </c>
      <c r="F36" s="358">
        <f t="shared" si="6"/>
        <v>0</v>
      </c>
      <c r="G36" s="359">
        <f t="shared" si="2"/>
        <v>0</v>
      </c>
      <c r="H36" s="360">
        <f t="shared" si="7"/>
        <v>0</v>
      </c>
      <c r="I36" s="358">
        <f t="shared" si="8"/>
        <v>0</v>
      </c>
      <c r="J36" s="366"/>
      <c r="K36" s="367"/>
    </row>
    <row r="37" spans="2:11" ht="14" thickBot="1">
      <c r="B37" s="1153"/>
      <c r="C37" s="355" t="s">
        <v>111</v>
      </c>
      <c r="D37" s="356">
        <v>24</v>
      </c>
      <c r="E37" s="357">
        <f t="shared" si="5"/>
        <v>0</v>
      </c>
      <c r="F37" s="358">
        <f t="shared" si="6"/>
        <v>0</v>
      </c>
      <c r="G37" s="359">
        <f t="shared" si="2"/>
        <v>0</v>
      </c>
      <c r="H37" s="360">
        <f t="shared" si="7"/>
        <v>0</v>
      </c>
      <c r="I37" s="358">
        <f t="shared" si="8"/>
        <v>0</v>
      </c>
      <c r="J37" s="368">
        <f>SUM(F26:F37)</f>
        <v>0</v>
      </c>
      <c r="K37" s="369">
        <f>SUM(G26:G37)</f>
        <v>0</v>
      </c>
    </row>
    <row r="38" spans="2:11" ht="14" thickBot="1">
      <c r="B38" s="1151" t="s">
        <v>365</v>
      </c>
      <c r="C38" s="362" t="s">
        <v>100</v>
      </c>
      <c r="D38" s="370">
        <v>25</v>
      </c>
      <c r="E38" s="371"/>
      <c r="F38" s="358"/>
      <c r="G38" s="359"/>
      <c r="H38" s="372"/>
      <c r="I38" s="373"/>
      <c r="J38" s="374"/>
      <c r="K38" s="375"/>
    </row>
    <row r="39" spans="2:11" ht="14" thickBot="1">
      <c r="B39" s="1152"/>
      <c r="C39" s="343" t="s">
        <v>101</v>
      </c>
      <c r="D39" s="376">
        <v>26</v>
      </c>
      <c r="E39" s="371"/>
      <c r="F39" s="358"/>
      <c r="G39" s="359"/>
      <c r="H39" s="372"/>
      <c r="I39" s="373"/>
      <c r="J39" s="377"/>
      <c r="K39" s="378"/>
    </row>
    <row r="40" spans="2:11" ht="14" thickBot="1">
      <c r="B40" s="1152"/>
      <c r="C40" s="343" t="s">
        <v>102</v>
      </c>
      <c r="D40" s="379">
        <v>27</v>
      </c>
      <c r="E40" s="371"/>
      <c r="F40" s="358"/>
      <c r="G40" s="359"/>
      <c r="H40" s="372"/>
      <c r="I40" s="373"/>
      <c r="J40" s="377"/>
      <c r="K40" s="378"/>
    </row>
    <row r="41" spans="2:11" ht="14" thickBot="1">
      <c r="B41" s="1152"/>
      <c r="C41" s="343" t="s">
        <v>103</v>
      </c>
      <c r="D41" s="376">
        <v>28</v>
      </c>
      <c r="E41" s="371"/>
      <c r="F41" s="358"/>
      <c r="G41" s="359"/>
      <c r="H41" s="372"/>
      <c r="I41" s="373"/>
      <c r="J41" s="377"/>
      <c r="K41" s="378"/>
    </row>
    <row r="42" spans="2:11" ht="14" thickBot="1">
      <c r="B42" s="1152"/>
      <c r="C42" s="343" t="s">
        <v>104</v>
      </c>
      <c r="D42" s="379">
        <v>29</v>
      </c>
      <c r="E42" s="371"/>
      <c r="F42" s="358"/>
      <c r="G42" s="359"/>
      <c r="H42" s="372"/>
      <c r="I42" s="373"/>
      <c r="J42" s="377"/>
      <c r="K42" s="378"/>
    </row>
    <row r="43" spans="2:11" ht="14" thickBot="1">
      <c r="B43" s="1152"/>
      <c r="C43" s="343" t="s">
        <v>105</v>
      </c>
      <c r="D43" s="376">
        <v>30</v>
      </c>
      <c r="E43" s="371"/>
      <c r="F43" s="358"/>
      <c r="G43" s="359"/>
      <c r="H43" s="372"/>
      <c r="I43" s="373"/>
      <c r="J43" s="377"/>
      <c r="K43" s="378"/>
    </row>
    <row r="44" spans="2:11" ht="14" thickBot="1">
      <c r="B44" s="1152"/>
      <c r="C44" s="343" t="s">
        <v>106</v>
      </c>
      <c r="D44" s="379">
        <v>31</v>
      </c>
      <c r="E44" s="371"/>
      <c r="F44" s="358"/>
      <c r="G44" s="359"/>
      <c r="H44" s="372"/>
      <c r="I44" s="373"/>
      <c r="J44" s="377"/>
      <c r="K44" s="378"/>
    </row>
    <row r="45" spans="2:11" ht="14" thickBot="1">
      <c r="B45" s="1152"/>
      <c r="C45" s="343" t="s">
        <v>107</v>
      </c>
      <c r="D45" s="376">
        <v>32</v>
      </c>
      <c r="E45" s="371"/>
      <c r="F45" s="358"/>
      <c r="G45" s="359"/>
      <c r="H45" s="372"/>
      <c r="I45" s="373"/>
      <c r="J45" s="377"/>
      <c r="K45" s="378"/>
    </row>
    <row r="46" spans="2:11" ht="14" thickBot="1">
      <c r="B46" s="1152"/>
      <c r="C46" s="343" t="s">
        <v>108</v>
      </c>
      <c r="D46" s="379">
        <v>33</v>
      </c>
      <c r="E46" s="371"/>
      <c r="F46" s="358"/>
      <c r="G46" s="359"/>
      <c r="H46" s="372"/>
      <c r="I46" s="373"/>
      <c r="J46" s="377"/>
      <c r="K46" s="378"/>
    </row>
    <row r="47" spans="2:11" ht="14" thickBot="1">
      <c r="B47" s="1152"/>
      <c r="C47" s="343" t="s">
        <v>109</v>
      </c>
      <c r="D47" s="376">
        <v>34</v>
      </c>
      <c r="E47" s="371"/>
      <c r="F47" s="358"/>
      <c r="G47" s="359"/>
      <c r="H47" s="372"/>
      <c r="I47" s="373"/>
      <c r="J47" s="377"/>
      <c r="K47" s="378"/>
    </row>
    <row r="48" spans="2:11" ht="14" thickBot="1">
      <c r="B48" s="1152"/>
      <c r="C48" s="343" t="s">
        <v>110</v>
      </c>
      <c r="D48" s="379">
        <v>35</v>
      </c>
      <c r="E48" s="371"/>
      <c r="F48" s="358"/>
      <c r="G48" s="359"/>
      <c r="H48" s="372"/>
      <c r="I48" s="373"/>
      <c r="J48" s="377"/>
      <c r="K48" s="378"/>
    </row>
    <row r="49" spans="2:11" ht="14" thickBot="1">
      <c r="B49" s="1153"/>
      <c r="C49" s="355" t="s">
        <v>111</v>
      </c>
      <c r="D49" s="376">
        <v>36</v>
      </c>
      <c r="E49" s="371"/>
      <c r="F49" s="358"/>
      <c r="G49" s="359"/>
      <c r="H49" s="372"/>
      <c r="I49" s="373"/>
      <c r="J49" s="380">
        <f>SUM(F38:F49)</f>
        <v>0</v>
      </c>
      <c r="K49" s="369">
        <f>SUM(G38:G49)</f>
        <v>0</v>
      </c>
    </row>
    <row r="50" spans="2:11" ht="14" thickBot="1">
      <c r="B50" s="1151" t="s">
        <v>341</v>
      </c>
      <c r="C50" s="362" t="s">
        <v>100</v>
      </c>
      <c r="D50" s="381"/>
      <c r="E50" s="371"/>
      <c r="F50" s="358"/>
      <c r="G50" s="359"/>
      <c r="H50" s="372"/>
      <c r="I50" s="373"/>
      <c r="J50" s="374"/>
      <c r="K50" s="375"/>
    </row>
    <row r="51" spans="2:11" ht="14" thickBot="1">
      <c r="B51" s="1152"/>
      <c r="C51" s="343" t="s">
        <v>101</v>
      </c>
      <c r="D51" s="382"/>
      <c r="E51" s="371"/>
      <c r="F51" s="358"/>
      <c r="G51" s="359"/>
      <c r="H51" s="372"/>
      <c r="I51" s="373"/>
      <c r="J51" s="377"/>
      <c r="K51" s="378"/>
    </row>
    <row r="52" spans="2:11" ht="14" thickBot="1">
      <c r="B52" s="1152"/>
      <c r="C52" s="343" t="s">
        <v>102</v>
      </c>
      <c r="D52" s="382"/>
      <c r="E52" s="371"/>
      <c r="F52" s="358"/>
      <c r="G52" s="359"/>
      <c r="H52" s="372"/>
      <c r="I52" s="373"/>
      <c r="J52" s="377"/>
      <c r="K52" s="378"/>
    </row>
    <row r="53" spans="2:11" ht="14" thickBot="1">
      <c r="B53" s="1152"/>
      <c r="C53" s="343" t="s">
        <v>103</v>
      </c>
      <c r="D53" s="382"/>
      <c r="E53" s="371"/>
      <c r="F53" s="358"/>
      <c r="G53" s="359"/>
      <c r="H53" s="372"/>
      <c r="I53" s="373"/>
      <c r="J53" s="377"/>
      <c r="K53" s="378"/>
    </row>
    <row r="54" spans="2:11" ht="14" thickBot="1">
      <c r="B54" s="1152"/>
      <c r="C54" s="343" t="s">
        <v>104</v>
      </c>
      <c r="D54" s="382"/>
      <c r="E54" s="371"/>
      <c r="F54" s="358"/>
      <c r="G54" s="359"/>
      <c r="H54" s="372"/>
      <c r="I54" s="373"/>
      <c r="J54" s="377"/>
      <c r="K54" s="378"/>
    </row>
    <row r="55" spans="2:11" ht="14" thickBot="1">
      <c r="B55" s="1152"/>
      <c r="C55" s="343" t="s">
        <v>105</v>
      </c>
      <c r="D55" s="382"/>
      <c r="E55" s="371"/>
      <c r="F55" s="358"/>
      <c r="G55" s="359"/>
      <c r="H55" s="372"/>
      <c r="I55" s="373"/>
      <c r="J55" s="377"/>
      <c r="K55" s="378"/>
    </row>
    <row r="56" spans="2:11" ht="14" thickBot="1">
      <c r="B56" s="1152"/>
      <c r="C56" s="343" t="s">
        <v>106</v>
      </c>
      <c r="D56" s="382"/>
      <c r="E56" s="371"/>
      <c r="F56" s="358"/>
      <c r="G56" s="359"/>
      <c r="H56" s="372"/>
      <c r="I56" s="373"/>
      <c r="J56" s="377"/>
      <c r="K56" s="378"/>
    </row>
    <row r="57" spans="2:11" ht="14" thickBot="1">
      <c r="B57" s="1152"/>
      <c r="C57" s="343" t="s">
        <v>107</v>
      </c>
      <c r="D57" s="382"/>
      <c r="E57" s="371"/>
      <c r="F57" s="358"/>
      <c r="G57" s="359"/>
      <c r="H57" s="372"/>
      <c r="I57" s="373"/>
      <c r="J57" s="377"/>
      <c r="K57" s="378"/>
    </row>
    <row r="58" spans="2:11" ht="14" thickBot="1">
      <c r="B58" s="1152"/>
      <c r="C58" s="343" t="s">
        <v>108</v>
      </c>
      <c r="D58" s="382"/>
      <c r="E58" s="371"/>
      <c r="F58" s="358"/>
      <c r="G58" s="359"/>
      <c r="H58" s="372"/>
      <c r="I58" s="373"/>
      <c r="J58" s="377"/>
      <c r="K58" s="378"/>
    </row>
    <row r="59" spans="2:11" ht="14" thickBot="1">
      <c r="B59" s="1152"/>
      <c r="C59" s="343" t="s">
        <v>109</v>
      </c>
      <c r="D59" s="382"/>
      <c r="E59" s="371"/>
      <c r="F59" s="358"/>
      <c r="G59" s="359"/>
      <c r="H59" s="372"/>
      <c r="I59" s="373"/>
      <c r="J59" s="377"/>
      <c r="K59" s="378"/>
    </row>
    <row r="60" spans="2:11" ht="14" thickBot="1">
      <c r="B60" s="1152"/>
      <c r="C60" s="343" t="s">
        <v>110</v>
      </c>
      <c r="D60" s="382"/>
      <c r="E60" s="371"/>
      <c r="F60" s="358"/>
      <c r="G60" s="359"/>
      <c r="H60" s="372"/>
      <c r="I60" s="373"/>
      <c r="J60" s="377"/>
      <c r="K60" s="378"/>
    </row>
    <row r="61" spans="2:11" ht="14" thickBot="1">
      <c r="B61" s="1153"/>
      <c r="C61" s="355" t="s">
        <v>111</v>
      </c>
      <c r="D61" s="356"/>
      <c r="E61" s="371"/>
      <c r="F61" s="358"/>
      <c r="G61" s="359"/>
      <c r="H61" s="372"/>
      <c r="I61" s="373"/>
      <c r="J61" s="380"/>
      <c r="K61" s="369"/>
    </row>
    <row r="62" spans="2:11" ht="12.75" customHeight="1" thickBot="1">
      <c r="B62" s="1151" t="s">
        <v>418</v>
      </c>
      <c r="C62" s="383" t="s">
        <v>100</v>
      </c>
      <c r="D62" s="363"/>
      <c r="E62" s="371"/>
      <c r="F62" s="358"/>
      <c r="G62" s="359"/>
      <c r="H62" s="372"/>
      <c r="I62" s="373"/>
      <c r="J62" s="374"/>
      <c r="K62" s="375"/>
    </row>
    <row r="63" spans="2:11" ht="14" thickBot="1">
      <c r="B63" s="1152"/>
      <c r="C63" s="383" t="s">
        <v>101</v>
      </c>
      <c r="D63" s="382"/>
      <c r="E63" s="371"/>
      <c r="F63" s="358"/>
      <c r="G63" s="359"/>
      <c r="H63" s="372"/>
      <c r="I63" s="373"/>
      <c r="J63" s="377"/>
      <c r="K63" s="378"/>
    </row>
    <row r="64" spans="2:11" ht="14" thickBot="1">
      <c r="B64" s="1152"/>
      <c r="C64" s="383" t="s">
        <v>102</v>
      </c>
      <c r="D64" s="354"/>
      <c r="E64" s="371"/>
      <c r="F64" s="358"/>
      <c r="G64" s="359"/>
      <c r="H64" s="372"/>
      <c r="I64" s="373"/>
      <c r="J64" s="377"/>
      <c r="K64" s="378"/>
    </row>
    <row r="65" spans="2:11" ht="14" thickBot="1">
      <c r="B65" s="1152"/>
      <c r="C65" s="383" t="s">
        <v>103</v>
      </c>
      <c r="D65" s="382"/>
      <c r="E65" s="371"/>
      <c r="F65" s="358"/>
      <c r="G65" s="359"/>
      <c r="H65" s="372"/>
      <c r="I65" s="373"/>
      <c r="J65" s="377"/>
      <c r="K65" s="378"/>
    </row>
    <row r="66" spans="2:11" ht="14" thickBot="1">
      <c r="B66" s="1152"/>
      <c r="C66" s="383" t="s">
        <v>104</v>
      </c>
      <c r="D66" s="354"/>
      <c r="E66" s="371"/>
      <c r="F66" s="358"/>
      <c r="G66" s="359"/>
      <c r="H66" s="372"/>
      <c r="I66" s="373"/>
      <c r="J66" s="377"/>
      <c r="K66" s="378"/>
    </row>
    <row r="67" spans="2:11" ht="14" thickBot="1">
      <c r="B67" s="1152"/>
      <c r="C67" s="383" t="s">
        <v>105</v>
      </c>
      <c r="D67" s="382"/>
      <c r="E67" s="371"/>
      <c r="F67" s="358"/>
      <c r="G67" s="359"/>
      <c r="H67" s="372"/>
      <c r="I67" s="373"/>
      <c r="J67" s="377"/>
      <c r="K67" s="378"/>
    </row>
    <row r="68" spans="2:11" ht="14" thickBot="1">
      <c r="B68" s="1152"/>
      <c r="C68" s="383" t="s">
        <v>106</v>
      </c>
      <c r="D68" s="354"/>
      <c r="E68" s="371"/>
      <c r="F68" s="358"/>
      <c r="G68" s="359"/>
      <c r="H68" s="372"/>
      <c r="I68" s="373"/>
      <c r="J68" s="353"/>
      <c r="K68" s="367"/>
    </row>
    <row r="69" spans="2:11" ht="14" thickBot="1">
      <c r="B69" s="1152"/>
      <c r="C69" s="383" t="s">
        <v>107</v>
      </c>
      <c r="D69" s="382"/>
      <c r="E69" s="371"/>
      <c r="F69" s="358"/>
      <c r="G69" s="359"/>
      <c r="H69" s="372"/>
      <c r="I69" s="373"/>
      <c r="J69" s="353"/>
      <c r="K69" s="367"/>
    </row>
    <row r="70" spans="2:11" ht="14" thickBot="1">
      <c r="B70" s="1152"/>
      <c r="C70" s="383" t="s">
        <v>108</v>
      </c>
      <c r="D70" s="354"/>
      <c r="E70" s="371"/>
      <c r="F70" s="358"/>
      <c r="G70" s="359"/>
      <c r="H70" s="372"/>
      <c r="I70" s="373"/>
      <c r="J70" s="353"/>
      <c r="K70" s="367"/>
    </row>
    <row r="71" spans="2:11" ht="14" thickBot="1">
      <c r="B71" s="1152"/>
      <c r="C71" s="383" t="s">
        <v>109</v>
      </c>
      <c r="D71" s="382"/>
      <c r="E71" s="371"/>
      <c r="F71" s="358"/>
      <c r="G71" s="359"/>
      <c r="H71" s="372"/>
      <c r="I71" s="373"/>
      <c r="J71" s="353"/>
      <c r="K71" s="367"/>
    </row>
    <row r="72" spans="2:11" ht="14" thickBot="1">
      <c r="B72" s="1152"/>
      <c r="C72" s="383" t="s">
        <v>110</v>
      </c>
      <c r="D72" s="354"/>
      <c r="E72" s="371"/>
      <c r="F72" s="358"/>
      <c r="G72" s="359"/>
      <c r="H72" s="372"/>
      <c r="I72" s="373"/>
      <c r="J72" s="353"/>
      <c r="K72" s="367"/>
    </row>
    <row r="73" spans="2:11" ht="14" thickBot="1">
      <c r="B73" s="1153"/>
      <c r="C73" s="384" t="s">
        <v>111</v>
      </c>
      <c r="D73" s="356"/>
      <c r="E73" s="371"/>
      <c r="F73" s="357"/>
      <c r="G73" s="357"/>
      <c r="H73" s="371"/>
      <c r="I73" s="371"/>
      <c r="J73" s="385"/>
      <c r="K73" s="386"/>
    </row>
    <row r="74" spans="2:11" ht="14" thickBot="1">
      <c r="B74" s="305"/>
      <c r="C74" s="305"/>
      <c r="D74" s="305"/>
      <c r="E74" s="387" t="s">
        <v>35</v>
      </c>
      <c r="F74" s="388">
        <f>SUM(F14:F73)</f>
        <v>0</v>
      </c>
      <c r="G74" s="388">
        <f>SUM(G14:G73)</f>
        <v>0</v>
      </c>
      <c r="H74" s="388">
        <f>SUM(H14:H73)</f>
        <v>0</v>
      </c>
      <c r="I74" s="388"/>
      <c r="J74" s="388">
        <f>SUM(J14:J73)</f>
        <v>0</v>
      </c>
      <c r="K74" s="388">
        <f>SUM(K14:K73)</f>
        <v>0</v>
      </c>
    </row>
    <row r="75" spans="2:11">
      <c r="B75" s="305"/>
      <c r="C75" s="305"/>
      <c r="D75" s="305"/>
    </row>
  </sheetData>
  <mergeCells count="10">
    <mergeCell ref="B1:H1"/>
    <mergeCell ref="B62:B73"/>
    <mergeCell ref="B26:B37"/>
    <mergeCell ref="B3:H3"/>
    <mergeCell ref="E6:F6"/>
    <mergeCell ref="E7:F7"/>
    <mergeCell ref="B14:B25"/>
    <mergeCell ref="E5:F5"/>
    <mergeCell ref="B38:B49"/>
    <mergeCell ref="B50:B61"/>
  </mergeCells>
  <phoneticPr fontId="0" type="noConversion"/>
  <pageMargins left="0.75" right="0.75" top="1" bottom="1" header="0" footer="0"/>
  <pageSetup paperSize="9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W136"/>
  <sheetViews>
    <sheetView tabSelected="1" topLeftCell="A22" zoomScale="141" zoomScaleNormal="110" workbookViewId="0">
      <selection activeCell="D40" sqref="D40"/>
    </sheetView>
  </sheetViews>
  <sheetFormatPr baseColWidth="10" defaultColWidth="11" defaultRowHeight="13"/>
  <cols>
    <col min="1" max="1" width="47.33203125" style="187" customWidth="1"/>
    <col min="2" max="2" width="12.83203125" style="187" customWidth="1"/>
    <col min="3" max="3" width="24.5" style="187" customWidth="1"/>
    <col min="4" max="4" width="24.33203125" style="187" customWidth="1"/>
    <col min="5" max="6" width="23.5" style="187" customWidth="1"/>
    <col min="7" max="7" width="22.6640625" style="187" customWidth="1"/>
    <col min="8" max="8" width="17.6640625" style="187" customWidth="1"/>
    <col min="9" max="10" width="17.83203125" style="187" customWidth="1"/>
    <col min="11" max="11" width="17.6640625" style="187" customWidth="1"/>
    <col min="12" max="12" width="17.1640625" style="187" customWidth="1"/>
    <col min="13" max="13" width="19.6640625" style="187" customWidth="1"/>
    <col min="14" max="14" width="16.83203125" style="187" customWidth="1"/>
    <col min="15" max="15" width="20" style="187" customWidth="1"/>
    <col min="16" max="16" width="18.1640625" style="187" customWidth="1"/>
    <col min="17" max="16384" width="11" style="187"/>
  </cols>
  <sheetData>
    <row r="1" spans="1:18" ht="39" customHeight="1" thickBot="1">
      <c r="A1" s="1180" t="s">
        <v>428</v>
      </c>
      <c r="B1" s="1181"/>
      <c r="C1" s="1181"/>
      <c r="D1" s="1181"/>
      <c r="E1" s="1181"/>
      <c r="F1" s="1181"/>
      <c r="G1" s="1182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18" ht="14.25" customHeight="1">
      <c r="A2" s="824"/>
      <c r="B2" s="825"/>
      <c r="C2" s="825"/>
      <c r="D2" s="825"/>
      <c r="E2" s="825"/>
      <c r="F2" s="825"/>
      <c r="G2" s="824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</row>
    <row r="3" spans="1:18" ht="39" customHeight="1">
      <c r="A3" s="1189"/>
      <c r="B3" s="1189"/>
      <c r="C3" s="1189"/>
      <c r="D3" s="1189"/>
      <c r="E3" s="1189"/>
      <c r="F3" s="826"/>
      <c r="G3" s="826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</row>
    <row r="4" spans="1:18" ht="14.25" customHeight="1" thickBot="1">
      <c r="A4" s="826"/>
      <c r="B4" s="826"/>
      <c r="C4" s="826"/>
      <c r="D4" s="826"/>
      <c r="E4" s="826"/>
      <c r="F4" s="826"/>
      <c r="G4" s="826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</row>
    <row r="5" spans="1:18" ht="39" customHeight="1" thickBot="1">
      <c r="A5" s="1180" t="s">
        <v>429</v>
      </c>
      <c r="B5" s="1181"/>
      <c r="C5" s="1181"/>
      <c r="D5" s="1181"/>
      <c r="E5" s="1182"/>
      <c r="F5" s="826"/>
      <c r="G5" s="826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</row>
    <row r="6" spans="1:18">
      <c r="A6" s="305"/>
      <c r="B6" s="305"/>
      <c r="C6" s="305"/>
      <c r="D6" s="305"/>
      <c r="E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18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</row>
    <row r="8" spans="1:18" ht="14" thickBot="1">
      <c r="A8" s="305"/>
      <c r="B8" s="305"/>
      <c r="C8" s="305"/>
      <c r="D8" s="305"/>
      <c r="E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</row>
    <row r="9" spans="1:18" ht="0.75" customHeight="1" thickBot="1">
      <c r="D9" s="305"/>
      <c r="E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</row>
    <row r="10" spans="1:18" ht="48" customHeight="1">
      <c r="A10" s="390" t="s">
        <v>423</v>
      </c>
      <c r="B10" s="391" t="s">
        <v>325</v>
      </c>
      <c r="C10" s="392" t="s">
        <v>471</v>
      </c>
      <c r="D10" s="393" t="s">
        <v>427</v>
      </c>
      <c r="E10" s="393" t="s">
        <v>426</v>
      </c>
      <c r="F10" s="394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</row>
    <row r="11" spans="1:18" ht="14">
      <c r="A11" s="1109" t="s">
        <v>511</v>
      </c>
      <c r="B11" s="1109" t="s">
        <v>515</v>
      </c>
      <c r="C11" s="1110">
        <f>1250*20</f>
        <v>25000</v>
      </c>
      <c r="D11" s="780">
        <f>P31</f>
        <v>0.5</v>
      </c>
      <c r="E11" s="780">
        <f>O31</f>
        <v>6</v>
      </c>
      <c r="F11" s="394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</row>
    <row r="12" spans="1:18" ht="14">
      <c r="A12" s="1109" t="s">
        <v>512</v>
      </c>
      <c r="B12" s="1109" t="s">
        <v>515</v>
      </c>
      <c r="C12" s="1110">
        <f>5000*20</f>
        <v>100000</v>
      </c>
      <c r="D12" s="780">
        <f>P32</f>
        <v>1.0833333333333333</v>
      </c>
      <c r="E12" s="780">
        <f>O32</f>
        <v>13</v>
      </c>
      <c r="F12" s="394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</row>
    <row r="13" spans="1:18" ht="14">
      <c r="A13" s="1109" t="s">
        <v>513</v>
      </c>
      <c r="B13" s="1109" t="s">
        <v>515</v>
      </c>
      <c r="C13" s="1110">
        <v>6000</v>
      </c>
      <c r="D13" s="780">
        <f t="shared" ref="D13:D16" si="0">P33</f>
        <v>1.25</v>
      </c>
      <c r="E13" s="780">
        <f t="shared" ref="E13:E22" si="1">O33</f>
        <v>15</v>
      </c>
      <c r="F13" s="262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</row>
    <row r="14" spans="1:18" ht="14">
      <c r="A14" s="1109" t="s">
        <v>514</v>
      </c>
      <c r="B14" s="1109" t="s">
        <v>515</v>
      </c>
      <c r="C14" s="1110">
        <v>1500</v>
      </c>
      <c r="D14" s="780">
        <f>P34</f>
        <v>0.33333333333333331</v>
      </c>
      <c r="E14" s="780">
        <f>O34</f>
        <v>4</v>
      </c>
      <c r="F14" s="394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</row>
    <row r="15" spans="1:18" ht="14">
      <c r="B15" s="1109"/>
      <c r="C15" s="1110"/>
      <c r="D15" s="780">
        <f t="shared" si="0"/>
        <v>8.3333333333333329E-2</v>
      </c>
      <c r="E15" s="780">
        <f t="shared" si="1"/>
        <v>1</v>
      </c>
      <c r="F15" s="394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</row>
    <row r="16" spans="1:18" ht="14">
      <c r="A16" s="1109"/>
      <c r="B16" s="1109"/>
      <c r="C16" s="1110"/>
      <c r="D16" s="780">
        <f t="shared" si="0"/>
        <v>0</v>
      </c>
      <c r="E16" s="780">
        <f t="shared" si="1"/>
        <v>0</v>
      </c>
      <c r="F16" s="394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</row>
    <row r="17" spans="1:17" ht="14">
      <c r="A17" s="1109"/>
      <c r="B17" s="1109"/>
      <c r="C17" s="1110"/>
      <c r="D17" s="780">
        <f t="shared" ref="D17:D22" si="2">P37</f>
        <v>8.3333333333333329E-2</v>
      </c>
      <c r="E17" s="780">
        <f t="shared" si="1"/>
        <v>1</v>
      </c>
      <c r="F17" s="394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</row>
    <row r="18" spans="1:17" ht="14">
      <c r="B18" s="1109"/>
      <c r="C18" s="1110"/>
      <c r="D18" s="780">
        <f t="shared" si="2"/>
        <v>8.3333333333333329E-2</v>
      </c>
      <c r="E18" s="780">
        <f>O38</f>
        <v>1</v>
      </c>
      <c r="F18" s="394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</row>
    <row r="19" spans="1:17" ht="14">
      <c r="A19" s="1109"/>
      <c r="B19" s="1109"/>
      <c r="C19" s="1110">
        <v>0</v>
      </c>
      <c r="D19" s="780">
        <f t="shared" si="2"/>
        <v>0</v>
      </c>
      <c r="E19" s="780">
        <f t="shared" si="1"/>
        <v>0</v>
      </c>
      <c r="F19" s="394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</row>
    <row r="20" spans="1:17" ht="14">
      <c r="A20" s="1109"/>
      <c r="B20" s="1109"/>
      <c r="C20" s="1110">
        <v>0</v>
      </c>
      <c r="D20" s="780">
        <f t="shared" si="2"/>
        <v>0</v>
      </c>
      <c r="E20" s="780">
        <v>0</v>
      </c>
      <c r="F20" s="394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</row>
    <row r="21" spans="1:17" ht="14">
      <c r="A21" s="1109"/>
      <c r="B21" s="1109"/>
      <c r="C21" s="1110">
        <v>0</v>
      </c>
      <c r="D21" s="780">
        <f t="shared" si="2"/>
        <v>0</v>
      </c>
      <c r="E21" s="780">
        <v>0</v>
      </c>
      <c r="F21" s="394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</row>
    <row r="22" spans="1:17" ht="16">
      <c r="A22" s="820"/>
      <c r="B22" s="819"/>
      <c r="C22" s="395"/>
      <c r="D22" s="780">
        <f t="shared" si="2"/>
        <v>0</v>
      </c>
      <c r="E22" s="780">
        <f t="shared" si="1"/>
        <v>0</v>
      </c>
      <c r="F22" s="394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</row>
    <row r="23" spans="1:17" ht="17" thickBot="1">
      <c r="A23" s="821" t="s">
        <v>35</v>
      </c>
      <c r="B23" s="822"/>
      <c r="C23" s="396">
        <f>SUM(C11:C22)</f>
        <v>132500</v>
      </c>
      <c r="D23" s="781">
        <f>SUM(D11:D22)</f>
        <v>3.416666666666667</v>
      </c>
      <c r="E23" s="782">
        <f>SUM(E11:E22)</f>
        <v>41</v>
      </c>
      <c r="F23" s="262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</row>
    <row r="24" spans="1:17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</row>
    <row r="25" spans="1:17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</row>
    <row r="26" spans="1:17" ht="14" thickBot="1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</row>
    <row r="27" spans="1:17" ht="29" thickBot="1">
      <c r="A27" s="1171" t="s">
        <v>475</v>
      </c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172"/>
      <c r="M27" s="1172"/>
      <c r="N27" s="1173"/>
      <c r="O27" s="305"/>
      <c r="P27" s="305"/>
      <c r="Q27" s="305"/>
    </row>
    <row r="28" spans="1:17" ht="14" thickBot="1">
      <c r="A28" s="300"/>
      <c r="B28" s="397"/>
      <c r="C28" s="397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96"/>
      <c r="O28" s="305"/>
      <c r="P28" s="305"/>
      <c r="Q28" s="305"/>
    </row>
    <row r="29" spans="1:17" ht="18.75" customHeight="1">
      <c r="A29" s="1183" t="s">
        <v>472</v>
      </c>
      <c r="B29" s="1176" t="str">
        <f>B10</f>
        <v>UNIDAD DE MEDIDA</v>
      </c>
      <c r="C29" s="1187" t="s">
        <v>38</v>
      </c>
      <c r="D29" s="1158" t="s">
        <v>39</v>
      </c>
      <c r="E29" s="1158" t="s">
        <v>40</v>
      </c>
      <c r="F29" s="1158" t="s">
        <v>41</v>
      </c>
      <c r="G29" s="1158" t="s">
        <v>42</v>
      </c>
      <c r="H29" s="1158" t="s">
        <v>43</v>
      </c>
      <c r="I29" s="1158" t="s">
        <v>44</v>
      </c>
      <c r="J29" s="1158" t="s">
        <v>45</v>
      </c>
      <c r="K29" s="1158" t="s">
        <v>46</v>
      </c>
      <c r="L29" s="1158" t="s">
        <v>47</v>
      </c>
      <c r="M29" s="1158" t="s">
        <v>48</v>
      </c>
      <c r="N29" s="419" t="s">
        <v>49</v>
      </c>
      <c r="O29" s="1174" t="s">
        <v>35</v>
      </c>
      <c r="P29" s="420" t="s">
        <v>425</v>
      </c>
      <c r="Q29" s="305"/>
    </row>
    <row r="30" spans="1:17" ht="14.25" customHeight="1" thickBot="1">
      <c r="A30" s="1184"/>
      <c r="B30" s="1177"/>
      <c r="C30" s="1188"/>
      <c r="D30" s="1168"/>
      <c r="E30" s="1159" t="s">
        <v>40</v>
      </c>
      <c r="F30" s="1159" t="s">
        <v>41</v>
      </c>
      <c r="G30" s="1159" t="s">
        <v>42</v>
      </c>
      <c r="H30" s="1159" t="s">
        <v>43</v>
      </c>
      <c r="I30" s="1159" t="s">
        <v>44</v>
      </c>
      <c r="J30" s="1159" t="s">
        <v>45</v>
      </c>
      <c r="K30" s="1159" t="s">
        <v>46</v>
      </c>
      <c r="L30" s="1159" t="s">
        <v>47</v>
      </c>
      <c r="M30" s="1159" t="s">
        <v>48</v>
      </c>
      <c r="N30" s="421"/>
      <c r="O30" s="1175"/>
      <c r="P30" s="422" t="s">
        <v>378</v>
      </c>
      <c r="Q30" s="305"/>
    </row>
    <row r="31" spans="1:17">
      <c r="A31" s="817" t="str">
        <f t="shared" ref="A31:A38" si="3">A11</f>
        <v>Welcome party</v>
      </c>
      <c r="B31" s="818" t="s">
        <v>498</v>
      </c>
      <c r="C31" s="398"/>
      <c r="D31" s="398">
        <v>1</v>
      </c>
      <c r="E31" s="398">
        <v>1</v>
      </c>
      <c r="F31" s="398"/>
      <c r="G31" s="398"/>
      <c r="H31" s="398"/>
      <c r="I31" s="398"/>
      <c r="J31" s="398">
        <v>0</v>
      </c>
      <c r="K31" s="398">
        <v>0</v>
      </c>
      <c r="L31" s="398">
        <v>0</v>
      </c>
      <c r="M31" s="398">
        <v>2</v>
      </c>
      <c r="N31" s="398">
        <v>2</v>
      </c>
      <c r="O31" s="399">
        <f>SUM(C31:N31)</f>
        <v>6</v>
      </c>
      <c r="P31" s="400">
        <f t="shared" ref="P31:P42" si="4">O31/12</f>
        <v>0.5</v>
      </c>
      <c r="Q31" s="401"/>
    </row>
    <row r="32" spans="1:17">
      <c r="A32" s="817" t="str">
        <f t="shared" si="3"/>
        <v>Boda</v>
      </c>
      <c r="B32" s="819" t="s">
        <v>498</v>
      </c>
      <c r="C32" s="398"/>
      <c r="D32" s="398"/>
      <c r="E32" s="398"/>
      <c r="F32" s="398">
        <v>1</v>
      </c>
      <c r="G32" s="398"/>
      <c r="H32" s="398">
        <v>0</v>
      </c>
      <c r="I32" s="398">
        <v>0</v>
      </c>
      <c r="J32" s="398"/>
      <c r="K32" s="398"/>
      <c r="L32" s="398"/>
      <c r="M32" s="398">
        <v>6</v>
      </c>
      <c r="N32" s="398">
        <v>6</v>
      </c>
      <c r="O32" s="399">
        <f t="shared" ref="O32:O42" si="5">SUM(C32:N32)</f>
        <v>13</v>
      </c>
      <c r="P32" s="400">
        <f t="shared" si="4"/>
        <v>1.0833333333333333</v>
      </c>
      <c r="Q32" s="401"/>
    </row>
    <row r="33" spans="1:17">
      <c r="A33" s="817" t="str">
        <f t="shared" si="3"/>
        <v>Hora extra</v>
      </c>
      <c r="B33" s="819" t="s">
        <v>498</v>
      </c>
      <c r="C33" s="398"/>
      <c r="D33" s="398"/>
      <c r="E33" s="398">
        <v>1</v>
      </c>
      <c r="F33" s="398"/>
      <c r="G33" s="398"/>
      <c r="H33" s="398">
        <v>1</v>
      </c>
      <c r="I33" s="398"/>
      <c r="J33" s="398">
        <v>1</v>
      </c>
      <c r="K33" s="398"/>
      <c r="L33" s="398"/>
      <c r="M33" s="398">
        <v>6</v>
      </c>
      <c r="N33" s="398">
        <v>6</v>
      </c>
      <c r="O33" s="399">
        <f t="shared" si="5"/>
        <v>15</v>
      </c>
      <c r="P33" s="400">
        <f t="shared" si="4"/>
        <v>1.25</v>
      </c>
      <c r="Q33" s="401"/>
    </row>
    <row r="34" spans="1:17">
      <c r="A34" s="817" t="str">
        <f t="shared" si="3"/>
        <v>Club</v>
      </c>
      <c r="B34" s="819" t="s">
        <v>499</v>
      </c>
      <c r="C34" s="398"/>
      <c r="D34" s="398"/>
      <c r="E34" s="398"/>
      <c r="F34" s="398">
        <v>1</v>
      </c>
      <c r="G34" s="398">
        <v>0</v>
      </c>
      <c r="H34" s="398">
        <v>0</v>
      </c>
      <c r="I34" s="398">
        <v>1</v>
      </c>
      <c r="J34" s="398"/>
      <c r="K34" s="398">
        <v>1</v>
      </c>
      <c r="L34" s="398">
        <v>0</v>
      </c>
      <c r="M34" s="398">
        <v>1</v>
      </c>
      <c r="N34" s="398"/>
      <c r="O34" s="399">
        <f>SUM(C34:N34)</f>
        <v>4</v>
      </c>
      <c r="P34" s="400">
        <f t="shared" si="4"/>
        <v>0.33333333333333331</v>
      </c>
      <c r="Q34" s="401"/>
    </row>
    <row r="35" spans="1:17">
      <c r="A35" s="817">
        <f t="shared" si="3"/>
        <v>0</v>
      </c>
      <c r="B35" s="819" t="s">
        <v>499</v>
      </c>
      <c r="C35" s="398"/>
      <c r="D35" s="398"/>
      <c r="E35" s="398"/>
      <c r="F35" s="398"/>
      <c r="G35" s="398"/>
      <c r="H35" s="398"/>
      <c r="I35" s="398">
        <v>0</v>
      </c>
      <c r="J35" s="398">
        <v>1</v>
      </c>
      <c r="K35" s="398">
        <v>0</v>
      </c>
      <c r="L35" s="398">
        <v>0</v>
      </c>
      <c r="M35" s="398">
        <v>0</v>
      </c>
      <c r="N35" s="398">
        <v>0</v>
      </c>
      <c r="O35" s="399">
        <f t="shared" si="5"/>
        <v>1</v>
      </c>
      <c r="P35" s="400">
        <f t="shared" si="4"/>
        <v>8.3333333333333329E-2</v>
      </c>
      <c r="Q35" s="401"/>
    </row>
    <row r="36" spans="1:17">
      <c r="A36" s="817">
        <f t="shared" si="3"/>
        <v>0</v>
      </c>
      <c r="B36" s="819" t="s">
        <v>499</v>
      </c>
      <c r="C36" s="398"/>
      <c r="D36" s="398"/>
      <c r="E36" s="398"/>
      <c r="F36" s="398"/>
      <c r="G36" s="398">
        <v>0</v>
      </c>
      <c r="H36" s="398"/>
      <c r="I36" s="398">
        <v>0</v>
      </c>
      <c r="J36" s="398">
        <v>0</v>
      </c>
      <c r="K36" s="398"/>
      <c r="L36" s="398">
        <v>0</v>
      </c>
      <c r="M36" s="398">
        <v>0</v>
      </c>
      <c r="N36" s="398">
        <v>0</v>
      </c>
      <c r="O36" s="399">
        <f t="shared" si="5"/>
        <v>0</v>
      </c>
      <c r="P36" s="400">
        <f t="shared" si="4"/>
        <v>0</v>
      </c>
      <c r="Q36" s="401"/>
    </row>
    <row r="37" spans="1:17">
      <c r="A37" s="817">
        <f t="shared" si="3"/>
        <v>0</v>
      </c>
      <c r="B37" s="819" t="s">
        <v>499</v>
      </c>
      <c r="C37" s="398"/>
      <c r="D37" s="398"/>
      <c r="E37" s="398"/>
      <c r="F37" s="398"/>
      <c r="G37" s="398">
        <v>0</v>
      </c>
      <c r="H37" s="398"/>
      <c r="I37" s="398"/>
      <c r="J37" s="398">
        <v>0</v>
      </c>
      <c r="K37" s="398">
        <v>0</v>
      </c>
      <c r="L37" s="398">
        <v>1</v>
      </c>
      <c r="M37" s="398"/>
      <c r="N37" s="398"/>
      <c r="O37" s="399">
        <f t="shared" si="5"/>
        <v>1</v>
      </c>
      <c r="P37" s="400">
        <f t="shared" si="4"/>
        <v>8.3333333333333329E-2</v>
      </c>
      <c r="Q37" s="401"/>
    </row>
    <row r="38" spans="1:17">
      <c r="A38" s="817">
        <f t="shared" si="3"/>
        <v>0</v>
      </c>
      <c r="B38" s="819" t="s">
        <v>500</v>
      </c>
      <c r="C38" s="398"/>
      <c r="D38" s="398"/>
      <c r="E38" s="398"/>
      <c r="F38" s="398"/>
      <c r="G38" s="398">
        <v>1</v>
      </c>
      <c r="H38" s="398">
        <v>0</v>
      </c>
      <c r="I38" s="398">
        <v>0</v>
      </c>
      <c r="J38" s="398"/>
      <c r="K38" s="398"/>
      <c r="L38" s="398"/>
      <c r="M38" s="398"/>
      <c r="N38" s="398"/>
      <c r="O38" s="399">
        <f t="shared" si="5"/>
        <v>1</v>
      </c>
      <c r="P38" s="400">
        <f t="shared" si="4"/>
        <v>8.3333333333333329E-2</v>
      </c>
      <c r="Q38" s="401"/>
    </row>
    <row r="39" spans="1:17">
      <c r="A39" s="817"/>
      <c r="B39" s="819">
        <v>1</v>
      </c>
      <c r="C39" s="398"/>
      <c r="D39" s="398"/>
      <c r="E39" s="398"/>
      <c r="F39" s="398"/>
      <c r="G39" s="398"/>
      <c r="H39" s="398"/>
      <c r="I39" s="398"/>
      <c r="J39" s="398">
        <v>0</v>
      </c>
      <c r="K39" s="398">
        <v>0</v>
      </c>
      <c r="L39" s="398"/>
      <c r="M39" s="398"/>
      <c r="N39" s="398">
        <v>0</v>
      </c>
      <c r="O39" s="399">
        <f t="shared" si="5"/>
        <v>0</v>
      </c>
      <c r="P39" s="400">
        <f t="shared" si="4"/>
        <v>0</v>
      </c>
      <c r="Q39" s="401"/>
    </row>
    <row r="40" spans="1:17">
      <c r="A40" s="817"/>
      <c r="B40" s="819">
        <v>1</v>
      </c>
      <c r="C40" s="398"/>
      <c r="D40" s="398"/>
      <c r="E40" s="398"/>
      <c r="F40" s="398">
        <v>0</v>
      </c>
      <c r="G40" s="398">
        <v>0</v>
      </c>
      <c r="H40" s="398">
        <v>0</v>
      </c>
      <c r="I40" s="398"/>
      <c r="J40" s="398"/>
      <c r="K40" s="398">
        <v>0</v>
      </c>
      <c r="L40" s="398">
        <v>0</v>
      </c>
      <c r="M40" s="398"/>
      <c r="N40" s="398">
        <v>0</v>
      </c>
      <c r="O40" s="399">
        <f t="shared" si="5"/>
        <v>0</v>
      </c>
      <c r="P40" s="400">
        <f t="shared" si="4"/>
        <v>0</v>
      </c>
      <c r="Q40" s="401"/>
    </row>
    <row r="41" spans="1:17">
      <c r="A41" s="817">
        <f t="shared" ref="A41:B42" si="6">A21</f>
        <v>0</v>
      </c>
      <c r="B41" s="819">
        <f t="shared" si="6"/>
        <v>0</v>
      </c>
      <c r="C41" s="398"/>
      <c r="D41" s="398"/>
      <c r="E41" s="398"/>
      <c r="F41" s="398"/>
      <c r="G41" s="398"/>
      <c r="H41" s="398"/>
      <c r="I41" s="398"/>
      <c r="J41" s="398">
        <v>0</v>
      </c>
      <c r="K41" s="398">
        <v>0</v>
      </c>
      <c r="L41" s="398">
        <v>0</v>
      </c>
      <c r="M41" s="398">
        <v>0</v>
      </c>
      <c r="N41" s="398">
        <v>0</v>
      </c>
      <c r="O41" s="399">
        <f t="shared" si="5"/>
        <v>0</v>
      </c>
      <c r="P41" s="400">
        <f t="shared" si="4"/>
        <v>0</v>
      </c>
      <c r="Q41" s="401"/>
    </row>
    <row r="42" spans="1:17" ht="14" thickBot="1">
      <c r="A42" s="817">
        <f t="shared" si="6"/>
        <v>0</v>
      </c>
      <c r="B42" s="819">
        <f>B22</f>
        <v>0</v>
      </c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9">
        <f t="shared" si="5"/>
        <v>0</v>
      </c>
      <c r="P42" s="400">
        <f t="shared" si="4"/>
        <v>0</v>
      </c>
      <c r="Q42" s="401"/>
    </row>
    <row r="43" spans="1:17" ht="14" thickBot="1">
      <c r="A43" s="338" t="s">
        <v>35</v>
      </c>
      <c r="B43" s="425"/>
      <c r="C43" s="426">
        <f>SUM(C31:C42)</f>
        <v>0</v>
      </c>
      <c r="D43" s="426">
        <f t="shared" ref="D43:O43" si="7">SUM(D31:D42)</f>
        <v>1</v>
      </c>
      <c r="E43" s="426">
        <f t="shared" si="7"/>
        <v>2</v>
      </c>
      <c r="F43" s="426">
        <f t="shared" si="7"/>
        <v>2</v>
      </c>
      <c r="G43" s="426">
        <f t="shared" si="7"/>
        <v>1</v>
      </c>
      <c r="H43" s="426">
        <f t="shared" si="7"/>
        <v>1</v>
      </c>
      <c r="I43" s="426">
        <f t="shared" si="7"/>
        <v>1</v>
      </c>
      <c r="J43" s="426">
        <f t="shared" si="7"/>
        <v>2</v>
      </c>
      <c r="K43" s="426">
        <f t="shared" si="7"/>
        <v>1</v>
      </c>
      <c r="L43" s="426">
        <f t="shared" si="7"/>
        <v>1</v>
      </c>
      <c r="M43" s="426">
        <f t="shared" si="7"/>
        <v>15</v>
      </c>
      <c r="N43" s="426">
        <f>SUM(N31:N42)</f>
        <v>14</v>
      </c>
      <c r="O43" s="427">
        <f t="shared" si="7"/>
        <v>41</v>
      </c>
      <c r="P43" s="428">
        <f>O43/12</f>
        <v>3.4166666666666665</v>
      </c>
      <c r="Q43" s="305"/>
    </row>
    <row r="44" spans="1:17">
      <c r="A44" s="262"/>
      <c r="B44" s="262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402"/>
      <c r="P44" s="305"/>
      <c r="Q44" s="305"/>
    </row>
    <row r="45" spans="1:17">
      <c r="A45" s="262"/>
      <c r="B45" s="262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402"/>
      <c r="P45" s="305"/>
      <c r="Q45" s="305"/>
    </row>
    <row r="46" spans="1:17" ht="14" thickBot="1">
      <c r="A46" s="262"/>
      <c r="B46" s="262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402"/>
      <c r="P46" s="305"/>
      <c r="Q46" s="305"/>
    </row>
    <row r="47" spans="1:17" ht="34" thickBot="1">
      <c r="A47" s="1171" t="s">
        <v>476</v>
      </c>
      <c r="B47" s="1172"/>
      <c r="C47" s="1172"/>
      <c r="D47" s="1172"/>
      <c r="E47" s="1172"/>
      <c r="F47" s="1172"/>
      <c r="G47" s="1172"/>
      <c r="H47" s="1172"/>
      <c r="I47" s="1172"/>
      <c r="J47" s="1172"/>
      <c r="K47" s="1172"/>
      <c r="L47" s="1172"/>
      <c r="M47" s="1172"/>
      <c r="N47" s="1173"/>
      <c r="O47" s="402"/>
      <c r="P47" s="305"/>
      <c r="Q47" s="305"/>
    </row>
    <row r="48" spans="1:17" ht="14" thickBot="1">
      <c r="A48" s="403"/>
      <c r="B48" s="262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1"/>
      <c r="O48" s="313"/>
      <c r="P48" s="305"/>
      <c r="Q48" s="305"/>
    </row>
    <row r="49" spans="1:23" ht="12" customHeight="1">
      <c r="A49" s="1169" t="s">
        <v>424</v>
      </c>
      <c r="B49" s="1176" t="str">
        <f>B29</f>
        <v>UNIDAD DE MEDIDA</v>
      </c>
      <c r="C49" s="1185" t="s">
        <v>38</v>
      </c>
      <c r="D49" s="1158" t="s">
        <v>39</v>
      </c>
      <c r="E49" s="1158" t="s">
        <v>40</v>
      </c>
      <c r="F49" s="1158" t="s">
        <v>41</v>
      </c>
      <c r="G49" s="1158" t="s">
        <v>42</v>
      </c>
      <c r="H49" s="1158" t="s">
        <v>43</v>
      </c>
      <c r="I49" s="1158" t="s">
        <v>44</v>
      </c>
      <c r="J49" s="1158" t="s">
        <v>45</v>
      </c>
      <c r="K49" s="1158" t="s">
        <v>46</v>
      </c>
      <c r="L49" s="1158" t="s">
        <v>47</v>
      </c>
      <c r="M49" s="1158" t="s">
        <v>48</v>
      </c>
      <c r="N49" s="1178" t="s">
        <v>49</v>
      </c>
      <c r="O49" s="1174" t="s">
        <v>35</v>
      </c>
      <c r="P49" s="423" t="s">
        <v>377</v>
      </c>
      <c r="Q49" s="305"/>
    </row>
    <row r="50" spans="1:23" ht="21" customHeight="1" thickBot="1">
      <c r="A50" s="1170"/>
      <c r="B50" s="1177"/>
      <c r="C50" s="1186"/>
      <c r="D50" s="1159" t="s">
        <v>39</v>
      </c>
      <c r="E50" s="1159" t="s">
        <v>40</v>
      </c>
      <c r="F50" s="1159" t="s">
        <v>41</v>
      </c>
      <c r="G50" s="1159" t="s">
        <v>42</v>
      </c>
      <c r="H50" s="1168"/>
      <c r="I50" s="1159" t="s">
        <v>44</v>
      </c>
      <c r="J50" s="1159" t="s">
        <v>45</v>
      </c>
      <c r="K50" s="1159" t="s">
        <v>46</v>
      </c>
      <c r="L50" s="1159" t="s">
        <v>47</v>
      </c>
      <c r="M50" s="1159" t="s">
        <v>48</v>
      </c>
      <c r="N50" s="1179" t="s">
        <v>49</v>
      </c>
      <c r="O50" s="1175"/>
      <c r="P50" s="424" t="s">
        <v>378</v>
      </c>
      <c r="Q50" s="305"/>
    </row>
    <row r="51" spans="1:23">
      <c r="A51" s="810" t="str">
        <f>A11</f>
        <v>Welcome party</v>
      </c>
      <c r="B51" s="816" t="str">
        <f t="shared" ref="B51:B62" si="8">B31</f>
        <v>APP</v>
      </c>
      <c r="C51" s="509">
        <f t="shared" ref="C51:O51" si="9">C31*$C$11</f>
        <v>0</v>
      </c>
      <c r="D51" s="509">
        <f t="shared" si="9"/>
        <v>25000</v>
      </c>
      <c r="E51" s="509">
        <f t="shared" si="9"/>
        <v>25000</v>
      </c>
      <c r="F51" s="509">
        <f t="shared" si="9"/>
        <v>0</v>
      </c>
      <c r="G51" s="509">
        <f t="shared" si="9"/>
        <v>0</v>
      </c>
      <c r="H51" s="509">
        <f t="shared" si="9"/>
        <v>0</v>
      </c>
      <c r="I51" s="509">
        <f t="shared" si="9"/>
        <v>0</v>
      </c>
      <c r="J51" s="509">
        <f t="shared" si="9"/>
        <v>0</v>
      </c>
      <c r="K51" s="509">
        <f t="shared" si="9"/>
        <v>0</v>
      </c>
      <c r="L51" s="509">
        <f t="shared" si="9"/>
        <v>0</v>
      </c>
      <c r="M51" s="509">
        <f t="shared" si="9"/>
        <v>50000</v>
      </c>
      <c r="N51" s="509">
        <f t="shared" si="9"/>
        <v>50000</v>
      </c>
      <c r="O51" s="405">
        <f t="shared" si="9"/>
        <v>150000</v>
      </c>
      <c r="P51" s="406">
        <f t="shared" ref="P51:P63" si="10">O51/12</f>
        <v>12500</v>
      </c>
      <c r="Q51" s="305"/>
    </row>
    <row r="52" spans="1:23">
      <c r="A52" s="810" t="str">
        <f t="shared" ref="A52:A58" si="11">A12</f>
        <v>Boda</v>
      </c>
      <c r="B52" s="816" t="str">
        <f t="shared" si="8"/>
        <v>APP</v>
      </c>
      <c r="C52" s="509">
        <f>C32*$C$12</f>
        <v>0</v>
      </c>
      <c r="D52" s="509">
        <f t="shared" ref="D52:M52" si="12">D32*$C$12</f>
        <v>0</v>
      </c>
      <c r="E52" s="509">
        <f t="shared" si="12"/>
        <v>0</v>
      </c>
      <c r="F52" s="509">
        <f t="shared" si="12"/>
        <v>100000</v>
      </c>
      <c r="G52" s="509">
        <f t="shared" si="12"/>
        <v>0</v>
      </c>
      <c r="H52" s="509">
        <f t="shared" si="12"/>
        <v>0</v>
      </c>
      <c r="I52" s="509">
        <f t="shared" si="12"/>
        <v>0</v>
      </c>
      <c r="J52" s="509">
        <f t="shared" si="12"/>
        <v>0</v>
      </c>
      <c r="K52" s="509">
        <f t="shared" si="12"/>
        <v>0</v>
      </c>
      <c r="L52" s="509">
        <f t="shared" si="12"/>
        <v>0</v>
      </c>
      <c r="M52" s="509">
        <f t="shared" si="12"/>
        <v>600000</v>
      </c>
      <c r="N52" s="404">
        <f>N31*$C$12</f>
        <v>200000</v>
      </c>
      <c r="O52" s="405">
        <f>O32*$C$12</f>
        <v>1300000</v>
      </c>
      <c r="P52" s="406">
        <f t="shared" si="10"/>
        <v>108333.33333333333</v>
      </c>
      <c r="Q52" s="305"/>
    </row>
    <row r="53" spans="1:23">
      <c r="A53" s="810" t="str">
        <f t="shared" si="11"/>
        <v>Hora extra</v>
      </c>
      <c r="B53" s="816" t="str">
        <f t="shared" si="8"/>
        <v>APP</v>
      </c>
      <c r="C53" s="509">
        <f>C33*$C$13</f>
        <v>0</v>
      </c>
      <c r="D53" s="509">
        <f>D33*$C$13</f>
        <v>0</v>
      </c>
      <c r="E53" s="509">
        <f>E33*$C$13</f>
        <v>6000</v>
      </c>
      <c r="F53" s="509">
        <f>F33*$C$13</f>
        <v>0</v>
      </c>
      <c r="G53" s="509">
        <f t="shared" ref="G53:M53" si="13">G33*$C$13</f>
        <v>0</v>
      </c>
      <c r="H53" s="509">
        <f t="shared" si="13"/>
        <v>6000</v>
      </c>
      <c r="I53" s="509">
        <f t="shared" si="13"/>
        <v>0</v>
      </c>
      <c r="J53" s="509">
        <f t="shared" si="13"/>
        <v>6000</v>
      </c>
      <c r="K53" s="509">
        <f t="shared" si="13"/>
        <v>0</v>
      </c>
      <c r="L53" s="509">
        <f t="shared" si="13"/>
        <v>0</v>
      </c>
      <c r="M53" s="509">
        <f t="shared" si="13"/>
        <v>36000</v>
      </c>
      <c r="N53" s="404">
        <f>N32*$C$13</f>
        <v>36000</v>
      </c>
      <c r="O53" s="405">
        <f>O33*$C$13</f>
        <v>90000</v>
      </c>
      <c r="P53" s="406">
        <f t="shared" si="10"/>
        <v>7500</v>
      </c>
      <c r="Q53" s="305"/>
    </row>
    <row r="54" spans="1:23">
      <c r="A54" s="810" t="str">
        <f t="shared" si="11"/>
        <v>Club</v>
      </c>
      <c r="B54" s="816" t="str">
        <f t="shared" si="8"/>
        <v>Plataforma</v>
      </c>
      <c r="C54" s="509">
        <f>C34*$C$14</f>
        <v>0</v>
      </c>
      <c r="D54" s="509">
        <f>D34*$C$14</f>
        <v>0</v>
      </c>
      <c r="E54" s="509">
        <f>E34*$C$14</f>
        <v>0</v>
      </c>
      <c r="F54" s="509">
        <f t="shared" ref="F54:M54" si="14">F34*$C$14</f>
        <v>1500</v>
      </c>
      <c r="G54" s="509">
        <f t="shared" si="14"/>
        <v>0</v>
      </c>
      <c r="H54" s="509">
        <f t="shared" si="14"/>
        <v>0</v>
      </c>
      <c r="I54" s="509">
        <f t="shared" si="14"/>
        <v>1500</v>
      </c>
      <c r="J54" s="509">
        <f t="shared" si="14"/>
        <v>0</v>
      </c>
      <c r="K54" s="509">
        <f t="shared" si="14"/>
        <v>1500</v>
      </c>
      <c r="L54" s="509">
        <f t="shared" si="14"/>
        <v>0</v>
      </c>
      <c r="M54" s="509">
        <f t="shared" si="14"/>
        <v>1500</v>
      </c>
      <c r="N54" s="404">
        <f>N33*$C$14</f>
        <v>9000</v>
      </c>
      <c r="O54" s="405">
        <f>O34*$C$14</f>
        <v>6000</v>
      </c>
      <c r="P54" s="406">
        <f t="shared" si="10"/>
        <v>500</v>
      </c>
      <c r="Q54" s="305"/>
    </row>
    <row r="55" spans="1:23">
      <c r="A55" s="810">
        <f t="shared" si="11"/>
        <v>0</v>
      </c>
      <c r="B55" s="816" t="str">
        <f t="shared" si="8"/>
        <v>Plataforma</v>
      </c>
      <c r="C55" s="509">
        <f>C35*$C$15</f>
        <v>0</v>
      </c>
      <c r="D55" s="509">
        <f>D35*$C$15</f>
        <v>0</v>
      </c>
      <c r="E55" s="509">
        <f>E35*$C$15</f>
        <v>0</v>
      </c>
      <c r="F55" s="509">
        <f t="shared" ref="F55:N55" si="15">F35*$C$15</f>
        <v>0</v>
      </c>
      <c r="G55" s="509">
        <f t="shared" si="15"/>
        <v>0</v>
      </c>
      <c r="H55" s="509">
        <f t="shared" si="15"/>
        <v>0</v>
      </c>
      <c r="I55" s="509">
        <f t="shared" si="15"/>
        <v>0</v>
      </c>
      <c r="J55" s="509">
        <f t="shared" si="15"/>
        <v>0</v>
      </c>
      <c r="K55" s="509">
        <f t="shared" si="15"/>
        <v>0</v>
      </c>
      <c r="L55" s="509">
        <f t="shared" si="15"/>
        <v>0</v>
      </c>
      <c r="M55" s="509">
        <f t="shared" si="15"/>
        <v>0</v>
      </c>
      <c r="N55" s="404">
        <f t="shared" si="15"/>
        <v>0</v>
      </c>
      <c r="O55" s="405">
        <f>O35*$C$15</f>
        <v>0</v>
      </c>
      <c r="P55" s="406">
        <f t="shared" si="10"/>
        <v>0</v>
      </c>
      <c r="Q55" s="305"/>
    </row>
    <row r="56" spans="1:23">
      <c r="A56" s="810">
        <f t="shared" si="11"/>
        <v>0</v>
      </c>
      <c r="B56" s="816" t="str">
        <f t="shared" si="8"/>
        <v>Plataforma</v>
      </c>
      <c r="C56" s="509">
        <f>C36*$C$16</f>
        <v>0</v>
      </c>
      <c r="D56" s="509">
        <f t="shared" ref="D56:N56" si="16">D36*$C$16</f>
        <v>0</v>
      </c>
      <c r="E56" s="509">
        <f t="shared" si="16"/>
        <v>0</v>
      </c>
      <c r="F56" s="509">
        <f t="shared" si="16"/>
        <v>0</v>
      </c>
      <c r="G56" s="509">
        <f t="shared" si="16"/>
        <v>0</v>
      </c>
      <c r="H56" s="509">
        <f t="shared" si="16"/>
        <v>0</v>
      </c>
      <c r="I56" s="509">
        <f t="shared" si="16"/>
        <v>0</v>
      </c>
      <c r="J56" s="509">
        <f t="shared" si="16"/>
        <v>0</v>
      </c>
      <c r="K56" s="509">
        <f t="shared" si="16"/>
        <v>0</v>
      </c>
      <c r="L56" s="509">
        <f t="shared" si="16"/>
        <v>0</v>
      </c>
      <c r="M56" s="509">
        <f t="shared" si="16"/>
        <v>0</v>
      </c>
      <c r="N56" s="404">
        <f t="shared" si="16"/>
        <v>0</v>
      </c>
      <c r="O56" s="405">
        <f>O36*$C$16</f>
        <v>0</v>
      </c>
      <c r="P56" s="406">
        <f t="shared" si="10"/>
        <v>0</v>
      </c>
      <c r="Q56" s="305"/>
    </row>
    <row r="57" spans="1:23">
      <c r="A57" s="810">
        <f t="shared" si="11"/>
        <v>0</v>
      </c>
      <c r="B57" s="816" t="str">
        <f t="shared" si="8"/>
        <v>Plataforma</v>
      </c>
      <c r="C57" s="509">
        <f>C37*$C$17</f>
        <v>0</v>
      </c>
      <c r="D57" s="509">
        <f>D37*$C$17</f>
        <v>0</v>
      </c>
      <c r="E57" s="509">
        <f>E37*$C$17</f>
        <v>0</v>
      </c>
      <c r="F57" s="509">
        <f>F37*$C$16</f>
        <v>0</v>
      </c>
      <c r="G57" s="509">
        <f t="shared" ref="G57:N57" si="17">G37*$C$16</f>
        <v>0</v>
      </c>
      <c r="H57" s="509">
        <f t="shared" si="17"/>
        <v>0</v>
      </c>
      <c r="I57" s="509">
        <f t="shared" si="17"/>
        <v>0</v>
      </c>
      <c r="J57" s="509">
        <f t="shared" si="17"/>
        <v>0</v>
      </c>
      <c r="K57" s="509">
        <f t="shared" si="17"/>
        <v>0</v>
      </c>
      <c r="L57" s="509">
        <f t="shared" si="17"/>
        <v>0</v>
      </c>
      <c r="M57" s="509">
        <f t="shared" si="17"/>
        <v>0</v>
      </c>
      <c r="N57" s="404">
        <f t="shared" si="17"/>
        <v>0</v>
      </c>
      <c r="O57" s="405">
        <f>O37*$C$17</f>
        <v>0</v>
      </c>
      <c r="P57" s="406">
        <f t="shared" si="10"/>
        <v>0</v>
      </c>
      <c r="Q57" s="305"/>
    </row>
    <row r="58" spans="1:23">
      <c r="A58" s="810">
        <f t="shared" si="11"/>
        <v>0</v>
      </c>
      <c r="B58" s="816" t="str">
        <f t="shared" si="8"/>
        <v>Redes sociales</v>
      </c>
      <c r="C58" s="509">
        <f>C38*$C$18</f>
        <v>0</v>
      </c>
      <c r="D58" s="509">
        <f t="shared" ref="D58:N58" si="18">D38*$C$18</f>
        <v>0</v>
      </c>
      <c r="E58" s="509">
        <f t="shared" si="18"/>
        <v>0</v>
      </c>
      <c r="F58" s="509">
        <f t="shared" si="18"/>
        <v>0</v>
      </c>
      <c r="G58" s="509">
        <f t="shared" si="18"/>
        <v>0</v>
      </c>
      <c r="H58" s="509">
        <f t="shared" si="18"/>
        <v>0</v>
      </c>
      <c r="I58" s="509">
        <f t="shared" si="18"/>
        <v>0</v>
      </c>
      <c r="J58" s="509">
        <f t="shared" si="18"/>
        <v>0</v>
      </c>
      <c r="K58" s="509">
        <f t="shared" si="18"/>
        <v>0</v>
      </c>
      <c r="L58" s="509">
        <f t="shared" si="18"/>
        <v>0</v>
      </c>
      <c r="M58" s="509">
        <f t="shared" si="18"/>
        <v>0</v>
      </c>
      <c r="N58" s="404">
        <f t="shared" si="18"/>
        <v>0</v>
      </c>
      <c r="O58" s="405">
        <f>O38*$C$18</f>
        <v>0</v>
      </c>
      <c r="P58" s="406">
        <f t="shared" si="10"/>
        <v>0</v>
      </c>
      <c r="Q58" s="305"/>
    </row>
    <row r="59" spans="1:23">
      <c r="A59" s="810">
        <f t="shared" ref="A59:A62" si="19">A19</f>
        <v>0</v>
      </c>
      <c r="B59" s="816">
        <f t="shared" si="8"/>
        <v>1</v>
      </c>
      <c r="C59" s="509">
        <f>C39*$C$19</f>
        <v>0</v>
      </c>
      <c r="D59" s="509">
        <f>D39*$C$19</f>
        <v>0</v>
      </c>
      <c r="E59" s="509">
        <f>E39*$C$19</f>
        <v>0</v>
      </c>
      <c r="F59" s="509">
        <f t="shared" ref="F59:N59" si="20">F39*$C$19</f>
        <v>0</v>
      </c>
      <c r="G59" s="509">
        <f t="shared" si="20"/>
        <v>0</v>
      </c>
      <c r="H59" s="509">
        <f t="shared" si="20"/>
        <v>0</v>
      </c>
      <c r="I59" s="509">
        <f t="shared" si="20"/>
        <v>0</v>
      </c>
      <c r="J59" s="509">
        <f t="shared" si="20"/>
        <v>0</v>
      </c>
      <c r="K59" s="509">
        <f t="shared" si="20"/>
        <v>0</v>
      </c>
      <c r="L59" s="509">
        <f t="shared" si="20"/>
        <v>0</v>
      </c>
      <c r="M59" s="509">
        <f t="shared" si="20"/>
        <v>0</v>
      </c>
      <c r="N59" s="404">
        <f t="shared" si="20"/>
        <v>0</v>
      </c>
      <c r="O59" s="405">
        <f>O39*$C$19</f>
        <v>0</v>
      </c>
      <c r="P59" s="406">
        <f t="shared" si="10"/>
        <v>0</v>
      </c>
      <c r="Q59" s="305"/>
    </row>
    <row r="60" spans="1:23">
      <c r="A60" s="810">
        <f t="shared" si="19"/>
        <v>0</v>
      </c>
      <c r="B60" s="816">
        <f t="shared" si="8"/>
        <v>1</v>
      </c>
      <c r="C60" s="509">
        <f>C40*$C$20</f>
        <v>0</v>
      </c>
      <c r="D60" s="509">
        <f>D40*$C$20</f>
        <v>0</v>
      </c>
      <c r="E60" s="509">
        <f>E40*$C$20</f>
        <v>0</v>
      </c>
      <c r="F60" s="509">
        <f t="shared" ref="F60:N60" si="21">F40*$C$20</f>
        <v>0</v>
      </c>
      <c r="G60" s="509">
        <f t="shared" si="21"/>
        <v>0</v>
      </c>
      <c r="H60" s="509">
        <f t="shared" si="21"/>
        <v>0</v>
      </c>
      <c r="I60" s="509">
        <f t="shared" si="21"/>
        <v>0</v>
      </c>
      <c r="J60" s="509">
        <f t="shared" si="21"/>
        <v>0</v>
      </c>
      <c r="K60" s="509">
        <f t="shared" si="21"/>
        <v>0</v>
      </c>
      <c r="L60" s="509">
        <f t="shared" si="21"/>
        <v>0</v>
      </c>
      <c r="M60" s="509">
        <f t="shared" si="21"/>
        <v>0</v>
      </c>
      <c r="N60" s="404">
        <f t="shared" si="21"/>
        <v>0</v>
      </c>
      <c r="O60" s="405">
        <f>O40*$C$20</f>
        <v>0</v>
      </c>
      <c r="P60" s="406">
        <f t="shared" si="10"/>
        <v>0</v>
      </c>
      <c r="Q60" s="305"/>
    </row>
    <row r="61" spans="1:23">
      <c r="A61" s="810">
        <f t="shared" si="19"/>
        <v>0</v>
      </c>
      <c r="B61" s="816">
        <f t="shared" si="8"/>
        <v>0</v>
      </c>
      <c r="C61" s="509">
        <f>C41*$C$21</f>
        <v>0</v>
      </c>
      <c r="D61" s="509">
        <f t="shared" ref="D61:N61" si="22">D41*$C$21</f>
        <v>0</v>
      </c>
      <c r="E61" s="509">
        <f t="shared" si="22"/>
        <v>0</v>
      </c>
      <c r="F61" s="509">
        <f t="shared" si="22"/>
        <v>0</v>
      </c>
      <c r="G61" s="509">
        <f t="shared" si="22"/>
        <v>0</v>
      </c>
      <c r="H61" s="509">
        <f t="shared" si="22"/>
        <v>0</v>
      </c>
      <c r="I61" s="509">
        <f t="shared" si="22"/>
        <v>0</v>
      </c>
      <c r="J61" s="509">
        <f t="shared" si="22"/>
        <v>0</v>
      </c>
      <c r="K61" s="509">
        <f t="shared" si="22"/>
        <v>0</v>
      </c>
      <c r="L61" s="509">
        <f t="shared" si="22"/>
        <v>0</v>
      </c>
      <c r="M61" s="509">
        <f t="shared" si="22"/>
        <v>0</v>
      </c>
      <c r="N61" s="404">
        <f t="shared" si="22"/>
        <v>0</v>
      </c>
      <c r="O61" s="405">
        <f>O41*$C$21</f>
        <v>0</v>
      </c>
      <c r="P61" s="406">
        <f t="shared" si="10"/>
        <v>0</v>
      </c>
      <c r="Q61" s="305"/>
    </row>
    <row r="62" spans="1:23" ht="14" thickBot="1">
      <c r="A62" s="810">
        <f t="shared" si="19"/>
        <v>0</v>
      </c>
      <c r="B62" s="816">
        <f t="shared" si="8"/>
        <v>0</v>
      </c>
      <c r="C62" s="509">
        <f t="shared" ref="C62:O62" si="23">C42*$C$22</f>
        <v>0</v>
      </c>
      <c r="D62" s="509">
        <f t="shared" si="23"/>
        <v>0</v>
      </c>
      <c r="E62" s="509">
        <f t="shared" si="23"/>
        <v>0</v>
      </c>
      <c r="F62" s="509">
        <f t="shared" si="23"/>
        <v>0</v>
      </c>
      <c r="G62" s="509">
        <f t="shared" si="23"/>
        <v>0</v>
      </c>
      <c r="H62" s="509">
        <f t="shared" si="23"/>
        <v>0</v>
      </c>
      <c r="I62" s="509">
        <f t="shared" si="23"/>
        <v>0</v>
      </c>
      <c r="J62" s="509">
        <f t="shared" si="23"/>
        <v>0</v>
      </c>
      <c r="K62" s="509">
        <f t="shared" si="23"/>
        <v>0</v>
      </c>
      <c r="L62" s="509">
        <f t="shared" si="23"/>
        <v>0</v>
      </c>
      <c r="M62" s="509">
        <f t="shared" si="23"/>
        <v>0</v>
      </c>
      <c r="N62" s="407">
        <f t="shared" si="23"/>
        <v>0</v>
      </c>
      <c r="O62" s="405">
        <f t="shared" si="23"/>
        <v>0</v>
      </c>
      <c r="P62" s="406">
        <f t="shared" si="10"/>
        <v>0</v>
      </c>
      <c r="Q62" s="305"/>
    </row>
    <row r="63" spans="1:23" ht="18.75" customHeight="1" thickBot="1">
      <c r="A63" s="429" t="s">
        <v>372</v>
      </c>
      <c r="B63" s="430"/>
      <c r="C63" s="431">
        <f>SUM(C51:C62)</f>
        <v>0</v>
      </c>
      <c r="D63" s="431">
        <f t="shared" ref="D63:O63" si="24">SUM(D51:D62)</f>
        <v>25000</v>
      </c>
      <c r="E63" s="431">
        <f t="shared" si="24"/>
        <v>31000</v>
      </c>
      <c r="F63" s="431">
        <f t="shared" si="24"/>
        <v>101500</v>
      </c>
      <c r="G63" s="431">
        <f t="shared" si="24"/>
        <v>0</v>
      </c>
      <c r="H63" s="431">
        <f t="shared" si="24"/>
        <v>6000</v>
      </c>
      <c r="I63" s="431">
        <f t="shared" si="24"/>
        <v>1500</v>
      </c>
      <c r="J63" s="431">
        <f t="shared" si="24"/>
        <v>6000</v>
      </c>
      <c r="K63" s="431">
        <f t="shared" si="24"/>
        <v>1500</v>
      </c>
      <c r="L63" s="431">
        <f t="shared" si="24"/>
        <v>0</v>
      </c>
      <c r="M63" s="431">
        <f t="shared" si="24"/>
        <v>687500</v>
      </c>
      <c r="N63" s="432">
        <f t="shared" si="24"/>
        <v>295000</v>
      </c>
      <c r="O63" s="433">
        <f t="shared" si="24"/>
        <v>1546000</v>
      </c>
      <c r="P63" s="434">
        <f t="shared" si="10"/>
        <v>128833.33333333333</v>
      </c>
      <c r="Q63" s="305"/>
    </row>
    <row r="64" spans="1:23">
      <c r="A64" s="262"/>
      <c r="B64" s="262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305"/>
      <c r="Q64" s="305"/>
      <c r="R64" s="305"/>
      <c r="S64" s="305"/>
      <c r="T64" s="305"/>
      <c r="U64" s="305"/>
      <c r="V64" s="305"/>
      <c r="W64" s="305"/>
    </row>
    <row r="65" spans="1:17">
      <c r="A65" s="262"/>
      <c r="B65" s="262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305"/>
      <c r="Q65" s="305"/>
    </row>
    <row r="66" spans="1:17" ht="14" thickBot="1">
      <c r="A66" s="262"/>
      <c r="B66" s="262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3"/>
      <c r="P66" s="305"/>
      <c r="Q66" s="305"/>
    </row>
    <row r="67" spans="1:17" ht="31" thickBot="1">
      <c r="A67" s="1171" t="s">
        <v>477</v>
      </c>
      <c r="B67" s="1172"/>
      <c r="C67" s="1172"/>
      <c r="D67" s="1172"/>
      <c r="E67" s="1172"/>
      <c r="F67" s="1172"/>
      <c r="G67" s="1173"/>
      <c r="H67" s="310"/>
      <c r="I67" s="310"/>
      <c r="J67" s="310"/>
      <c r="K67" s="310"/>
      <c r="L67" s="310"/>
      <c r="M67" s="310"/>
      <c r="N67" s="310"/>
      <c r="O67" s="313"/>
      <c r="P67" s="305"/>
      <c r="Q67" s="305"/>
    </row>
    <row r="68" spans="1:17" ht="14" thickBot="1">
      <c r="A68" s="403"/>
      <c r="B68" s="262"/>
      <c r="C68" s="310"/>
      <c r="D68" s="310"/>
      <c r="E68" s="310"/>
      <c r="F68" s="310"/>
      <c r="G68" s="311"/>
      <c r="H68" s="310"/>
      <c r="I68" s="310"/>
      <c r="J68" s="310"/>
      <c r="K68" s="310"/>
      <c r="L68" s="310"/>
      <c r="M68" s="310"/>
      <c r="N68" s="310"/>
      <c r="O68" s="313"/>
      <c r="P68" s="305"/>
      <c r="Q68" s="305"/>
    </row>
    <row r="69" spans="1:17" ht="12" customHeight="1">
      <c r="A69" s="1169" t="s">
        <v>373</v>
      </c>
      <c r="B69" s="1162" t="str">
        <f>B49</f>
        <v>UNIDAD DE MEDIDA</v>
      </c>
      <c r="C69" s="1190" t="s">
        <v>118</v>
      </c>
      <c r="D69" s="1190" t="s">
        <v>142</v>
      </c>
      <c r="E69" s="1190" t="s">
        <v>143</v>
      </c>
      <c r="F69" s="1190" t="s">
        <v>341</v>
      </c>
      <c r="G69" s="1160" t="s">
        <v>145</v>
      </c>
      <c r="H69" s="310"/>
      <c r="I69" s="310"/>
      <c r="J69" s="310"/>
      <c r="K69" s="310"/>
      <c r="L69" s="310"/>
      <c r="M69" s="310"/>
      <c r="N69" s="310"/>
      <c r="O69" s="313"/>
      <c r="P69" s="305"/>
      <c r="Q69" s="305"/>
    </row>
    <row r="70" spans="1:17" ht="24.75" customHeight="1" thickBot="1">
      <c r="A70" s="1170"/>
      <c r="B70" s="1163"/>
      <c r="C70" s="1191"/>
      <c r="D70" s="1191"/>
      <c r="E70" s="1191"/>
      <c r="F70" s="1191"/>
      <c r="G70" s="1161"/>
      <c r="H70" s="305"/>
      <c r="I70" s="305"/>
      <c r="J70" s="305"/>
      <c r="K70" s="305"/>
      <c r="L70" s="305"/>
      <c r="M70" s="305"/>
      <c r="N70" s="305"/>
      <c r="O70" s="305"/>
      <c r="P70" s="305"/>
      <c r="Q70" s="305"/>
    </row>
    <row r="71" spans="1:17">
      <c r="A71" s="435"/>
      <c r="B71" s="262"/>
      <c r="C71" s="235"/>
      <c r="D71" s="235"/>
      <c r="E71" s="235"/>
      <c r="F71" s="235"/>
      <c r="G71" s="436"/>
      <c r="H71" s="411"/>
      <c r="I71" s="305"/>
      <c r="J71" s="305"/>
      <c r="K71" s="305"/>
      <c r="L71" s="305"/>
      <c r="M71" s="305"/>
      <c r="N71" s="305"/>
      <c r="O71" s="305"/>
      <c r="P71" s="305"/>
      <c r="Q71" s="305"/>
    </row>
    <row r="72" spans="1:17" ht="16">
      <c r="A72" s="437" t="s">
        <v>374</v>
      </c>
      <c r="B72" s="438"/>
      <c r="C72" s="439">
        <v>1</v>
      </c>
      <c r="D72" s="440">
        <f>C72+10%</f>
        <v>1.1000000000000001</v>
      </c>
      <c r="E72" s="440">
        <f>D72+10%</f>
        <v>1.2000000000000002</v>
      </c>
      <c r="F72" s="440">
        <f>E72+15%</f>
        <v>1.35</v>
      </c>
      <c r="G72" s="441">
        <f>F72+0%</f>
        <v>1.35</v>
      </c>
      <c r="H72" s="305"/>
      <c r="I72" s="305"/>
      <c r="J72" s="305"/>
      <c r="K72" s="305"/>
      <c r="L72" s="305"/>
      <c r="M72" s="305"/>
      <c r="N72" s="305"/>
      <c r="O72" s="305"/>
      <c r="P72" s="305"/>
      <c r="Q72" s="305"/>
    </row>
    <row r="73" spans="1:17" ht="7.5" customHeight="1">
      <c r="A73" s="412"/>
      <c r="B73" s="397"/>
      <c r="C73" s="397"/>
      <c r="D73" s="397"/>
      <c r="E73" s="397"/>
      <c r="F73" s="397"/>
      <c r="G73" s="413"/>
      <c r="H73" s="305"/>
      <c r="I73" s="305"/>
      <c r="J73" s="305"/>
      <c r="K73" s="305"/>
      <c r="L73" s="305"/>
      <c r="M73" s="305"/>
      <c r="N73" s="305"/>
      <c r="O73" s="305"/>
      <c r="P73" s="305"/>
      <c r="Q73" s="305"/>
    </row>
    <row r="74" spans="1:17">
      <c r="A74" s="810" t="str">
        <f t="shared" ref="A74:B79" si="25">A51</f>
        <v>Welcome party</v>
      </c>
      <c r="B74" s="801" t="str">
        <f t="shared" si="25"/>
        <v>APP</v>
      </c>
      <c r="C74" s="811">
        <f>$C$72*O31</f>
        <v>6</v>
      </c>
      <c r="D74" s="811">
        <f t="shared" ref="D74:D85" si="26">$D$72*C74</f>
        <v>6.6000000000000005</v>
      </c>
      <c r="E74" s="811">
        <f t="shared" ref="E74:E85" si="27">$E$72*D74</f>
        <v>7.9200000000000017</v>
      </c>
      <c r="F74" s="811">
        <f t="shared" ref="F74:F85" si="28">$F$72*E74</f>
        <v>10.692000000000004</v>
      </c>
      <c r="G74" s="812">
        <f t="shared" ref="G74:G85" si="29">$G$72*F74</f>
        <v>14.434200000000006</v>
      </c>
      <c r="H74" s="305"/>
      <c r="I74" s="305"/>
      <c r="J74" s="305"/>
      <c r="K74" s="305"/>
      <c r="L74" s="305"/>
      <c r="M74" s="305"/>
      <c r="N74" s="305"/>
      <c r="O74" s="305"/>
      <c r="P74" s="305"/>
      <c r="Q74" s="305"/>
    </row>
    <row r="75" spans="1:17">
      <c r="A75" s="810" t="str">
        <f t="shared" si="25"/>
        <v>Boda</v>
      </c>
      <c r="B75" s="801" t="str">
        <f t="shared" si="25"/>
        <v>APP</v>
      </c>
      <c r="C75" s="811">
        <f>$C$72*O32</f>
        <v>13</v>
      </c>
      <c r="D75" s="811">
        <f t="shared" si="26"/>
        <v>14.3</v>
      </c>
      <c r="E75" s="811">
        <f t="shared" si="27"/>
        <v>17.160000000000004</v>
      </c>
      <c r="F75" s="811">
        <f t="shared" si="28"/>
        <v>23.166000000000007</v>
      </c>
      <c r="G75" s="812">
        <f t="shared" si="29"/>
        <v>31.274100000000011</v>
      </c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17">
      <c r="A76" s="810" t="str">
        <f t="shared" si="25"/>
        <v>Hora extra</v>
      </c>
      <c r="B76" s="801" t="str">
        <f t="shared" si="25"/>
        <v>APP</v>
      </c>
      <c r="C76" s="811">
        <f>$C$72*O33</f>
        <v>15</v>
      </c>
      <c r="D76" s="811">
        <f t="shared" si="26"/>
        <v>16.5</v>
      </c>
      <c r="E76" s="811">
        <f t="shared" si="27"/>
        <v>19.800000000000004</v>
      </c>
      <c r="F76" s="811">
        <f t="shared" si="28"/>
        <v>26.730000000000008</v>
      </c>
      <c r="G76" s="812">
        <f t="shared" si="29"/>
        <v>36.08550000000001</v>
      </c>
      <c r="H76" s="305"/>
      <c r="I76" s="305"/>
      <c r="J76" s="305"/>
      <c r="K76" s="305"/>
      <c r="L76" s="305"/>
      <c r="M76" s="305"/>
      <c r="N76" s="305"/>
      <c r="O76" s="305"/>
      <c r="P76" s="305"/>
      <c r="Q76" s="305"/>
    </row>
    <row r="77" spans="1:17">
      <c r="A77" s="810" t="str">
        <f t="shared" si="25"/>
        <v>Club</v>
      </c>
      <c r="B77" s="801" t="str">
        <f t="shared" si="25"/>
        <v>Plataforma</v>
      </c>
      <c r="C77" s="811">
        <f>$C$72*O34</f>
        <v>4</v>
      </c>
      <c r="D77" s="811">
        <f t="shared" si="26"/>
        <v>4.4000000000000004</v>
      </c>
      <c r="E77" s="811">
        <f t="shared" si="27"/>
        <v>5.2800000000000011</v>
      </c>
      <c r="F77" s="811">
        <f t="shared" si="28"/>
        <v>7.1280000000000019</v>
      </c>
      <c r="G77" s="812">
        <f t="shared" si="29"/>
        <v>9.6228000000000034</v>
      </c>
      <c r="H77" s="305"/>
      <c r="I77" s="305"/>
      <c r="J77" s="305"/>
      <c r="K77" s="305"/>
      <c r="L77" s="305"/>
      <c r="M77" s="305"/>
      <c r="N77" s="305"/>
      <c r="O77" s="305"/>
      <c r="P77" s="305"/>
      <c r="Q77" s="305"/>
    </row>
    <row r="78" spans="1:17">
      <c r="A78" s="810">
        <f t="shared" si="25"/>
        <v>0</v>
      </c>
      <c r="B78" s="801" t="str">
        <f t="shared" si="25"/>
        <v>Plataforma</v>
      </c>
      <c r="C78" s="811">
        <f t="shared" ref="C78:C85" si="30">$C$72*O35</f>
        <v>1</v>
      </c>
      <c r="D78" s="811">
        <f t="shared" si="26"/>
        <v>1.1000000000000001</v>
      </c>
      <c r="E78" s="811">
        <f t="shared" si="27"/>
        <v>1.3200000000000003</v>
      </c>
      <c r="F78" s="811">
        <f t="shared" si="28"/>
        <v>1.7820000000000005</v>
      </c>
      <c r="G78" s="812">
        <f t="shared" si="29"/>
        <v>2.4057000000000008</v>
      </c>
      <c r="H78" s="305"/>
      <c r="I78" s="305"/>
      <c r="J78" s="305"/>
      <c r="K78" s="305"/>
      <c r="L78" s="305"/>
      <c r="M78" s="305"/>
      <c r="N78" s="305"/>
      <c r="O78" s="305"/>
      <c r="P78" s="305"/>
      <c r="Q78" s="305"/>
    </row>
    <row r="79" spans="1:17">
      <c r="A79" s="810">
        <f t="shared" si="25"/>
        <v>0</v>
      </c>
      <c r="B79" s="801" t="str">
        <f t="shared" si="25"/>
        <v>Plataforma</v>
      </c>
      <c r="C79" s="811">
        <f t="shared" si="30"/>
        <v>0</v>
      </c>
      <c r="D79" s="811">
        <f t="shared" si="26"/>
        <v>0</v>
      </c>
      <c r="E79" s="811">
        <f t="shared" si="27"/>
        <v>0</v>
      </c>
      <c r="F79" s="811">
        <f t="shared" si="28"/>
        <v>0</v>
      </c>
      <c r="G79" s="812">
        <f t="shared" si="29"/>
        <v>0</v>
      </c>
      <c r="H79" s="305"/>
      <c r="I79" s="305"/>
      <c r="J79" s="305"/>
      <c r="K79" s="305"/>
      <c r="L79" s="305"/>
      <c r="M79" s="305"/>
      <c r="N79" s="305"/>
      <c r="O79" s="305"/>
      <c r="P79" s="305"/>
      <c r="Q79" s="305"/>
    </row>
    <row r="80" spans="1:17">
      <c r="A80" s="810">
        <f t="shared" ref="A80:B84" si="31">A57</f>
        <v>0</v>
      </c>
      <c r="B80" s="801" t="str">
        <f t="shared" si="31"/>
        <v>Plataforma</v>
      </c>
      <c r="C80" s="811">
        <f t="shared" si="30"/>
        <v>1</v>
      </c>
      <c r="D80" s="811">
        <f t="shared" si="26"/>
        <v>1.1000000000000001</v>
      </c>
      <c r="E80" s="811">
        <f t="shared" si="27"/>
        <v>1.3200000000000003</v>
      </c>
      <c r="F80" s="811">
        <f t="shared" si="28"/>
        <v>1.7820000000000005</v>
      </c>
      <c r="G80" s="812">
        <f t="shared" si="29"/>
        <v>2.4057000000000008</v>
      </c>
      <c r="H80" s="305"/>
      <c r="I80" s="305"/>
      <c r="J80" s="305"/>
      <c r="K80" s="305"/>
      <c r="L80" s="305"/>
      <c r="M80" s="305"/>
      <c r="N80" s="305"/>
      <c r="O80" s="305"/>
      <c r="P80" s="305"/>
      <c r="Q80" s="305"/>
    </row>
    <row r="81" spans="1:19">
      <c r="A81" s="810">
        <f t="shared" si="31"/>
        <v>0</v>
      </c>
      <c r="B81" s="801" t="str">
        <f t="shared" si="31"/>
        <v>Redes sociales</v>
      </c>
      <c r="C81" s="811">
        <f t="shared" si="30"/>
        <v>1</v>
      </c>
      <c r="D81" s="811">
        <f t="shared" si="26"/>
        <v>1.1000000000000001</v>
      </c>
      <c r="E81" s="811">
        <f t="shared" si="27"/>
        <v>1.3200000000000003</v>
      </c>
      <c r="F81" s="811">
        <f t="shared" si="28"/>
        <v>1.7820000000000005</v>
      </c>
      <c r="G81" s="812">
        <f t="shared" si="29"/>
        <v>2.4057000000000008</v>
      </c>
      <c r="H81" s="305"/>
      <c r="I81" s="305"/>
      <c r="J81" s="305"/>
      <c r="K81" s="305"/>
      <c r="L81" s="305"/>
      <c r="M81" s="305"/>
      <c r="N81" s="305"/>
      <c r="O81" s="305"/>
      <c r="P81" s="305"/>
      <c r="Q81" s="305"/>
    </row>
    <row r="82" spans="1:19">
      <c r="A82" s="810">
        <f t="shared" si="31"/>
        <v>0</v>
      </c>
      <c r="B82" s="801">
        <f t="shared" si="31"/>
        <v>1</v>
      </c>
      <c r="C82" s="811">
        <f t="shared" si="30"/>
        <v>0</v>
      </c>
      <c r="D82" s="811">
        <f t="shared" si="26"/>
        <v>0</v>
      </c>
      <c r="E82" s="811">
        <f t="shared" si="27"/>
        <v>0</v>
      </c>
      <c r="F82" s="811">
        <f t="shared" si="28"/>
        <v>0</v>
      </c>
      <c r="G82" s="812">
        <f t="shared" si="29"/>
        <v>0</v>
      </c>
      <c r="H82" s="305"/>
      <c r="I82" s="305"/>
      <c r="J82" s="305"/>
      <c r="K82" s="305"/>
      <c r="L82" s="305"/>
      <c r="M82" s="305"/>
      <c r="N82" s="305"/>
      <c r="O82" s="305"/>
      <c r="P82" s="305"/>
      <c r="Q82" s="305"/>
    </row>
    <row r="83" spans="1:19">
      <c r="A83" s="810">
        <f t="shared" si="31"/>
        <v>0</v>
      </c>
      <c r="B83" s="801">
        <f t="shared" si="31"/>
        <v>1</v>
      </c>
      <c r="C83" s="811">
        <f t="shared" si="30"/>
        <v>0</v>
      </c>
      <c r="D83" s="811">
        <f t="shared" si="26"/>
        <v>0</v>
      </c>
      <c r="E83" s="811">
        <f t="shared" si="27"/>
        <v>0</v>
      </c>
      <c r="F83" s="811">
        <f t="shared" si="28"/>
        <v>0</v>
      </c>
      <c r="G83" s="812">
        <f t="shared" si="29"/>
        <v>0</v>
      </c>
      <c r="H83" s="305"/>
      <c r="I83" s="305"/>
      <c r="J83" s="305"/>
      <c r="K83" s="305"/>
      <c r="L83" s="305"/>
      <c r="M83" s="305"/>
      <c r="N83" s="305"/>
      <c r="O83" s="305"/>
      <c r="P83" s="305"/>
      <c r="Q83" s="305"/>
    </row>
    <row r="84" spans="1:19">
      <c r="A84" s="810">
        <f t="shared" si="31"/>
        <v>0</v>
      </c>
      <c r="B84" s="801">
        <f t="shared" si="31"/>
        <v>0</v>
      </c>
      <c r="C84" s="811">
        <f t="shared" si="30"/>
        <v>0</v>
      </c>
      <c r="D84" s="811">
        <f t="shared" si="26"/>
        <v>0</v>
      </c>
      <c r="E84" s="811">
        <f t="shared" si="27"/>
        <v>0</v>
      </c>
      <c r="F84" s="811">
        <f t="shared" si="28"/>
        <v>0</v>
      </c>
      <c r="G84" s="812">
        <f t="shared" si="29"/>
        <v>0</v>
      </c>
      <c r="H84" s="305"/>
      <c r="I84" s="305"/>
      <c r="J84" s="305"/>
      <c r="K84" s="305"/>
      <c r="L84" s="305"/>
      <c r="M84" s="305"/>
      <c r="N84" s="305"/>
      <c r="O84" s="305"/>
      <c r="P84" s="305"/>
      <c r="Q84" s="305"/>
    </row>
    <row r="85" spans="1:19" ht="14" thickBot="1">
      <c r="A85" s="810">
        <f>A62</f>
        <v>0</v>
      </c>
      <c r="B85" s="801">
        <f>B62</f>
        <v>0</v>
      </c>
      <c r="C85" s="811">
        <f t="shared" si="30"/>
        <v>0</v>
      </c>
      <c r="D85" s="811">
        <f t="shared" si="26"/>
        <v>0</v>
      </c>
      <c r="E85" s="811">
        <f t="shared" si="27"/>
        <v>0</v>
      </c>
      <c r="F85" s="811">
        <f t="shared" si="28"/>
        <v>0</v>
      </c>
      <c r="G85" s="812">
        <f t="shared" si="29"/>
        <v>0</v>
      </c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</row>
    <row r="86" spans="1:19" ht="14" thickBot="1">
      <c r="A86" s="813" t="s">
        <v>437</v>
      </c>
      <c r="B86" s="814"/>
      <c r="C86" s="815">
        <f>SUM(C74:C85)</f>
        <v>41</v>
      </c>
      <c r="D86" s="815">
        <f>SUM(D74:D85)</f>
        <v>45.100000000000009</v>
      </c>
      <c r="E86" s="815">
        <f>SUM(E74:E85)</f>
        <v>54.120000000000012</v>
      </c>
      <c r="F86" s="815">
        <f>SUM(F74:F85)</f>
        <v>73.062000000000012</v>
      </c>
      <c r="G86" s="815">
        <f>SUM(G74:G85)</f>
        <v>98.633700000000019</v>
      </c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</row>
    <row r="87" spans="1:19">
      <c r="A87" s="414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</row>
    <row r="88" spans="1:19" ht="14" thickBot="1">
      <c r="A88" s="305"/>
      <c r="B88" s="305"/>
      <c r="C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</row>
    <row r="89" spans="1:19" ht="31" thickBot="1">
      <c r="A89" s="1171" t="s">
        <v>478</v>
      </c>
      <c r="B89" s="1172"/>
      <c r="C89" s="1172"/>
      <c r="D89" s="1172"/>
      <c r="E89" s="1172"/>
      <c r="F89" s="1172"/>
      <c r="G89" s="1173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</row>
    <row r="90" spans="1:19" ht="14" thickBot="1">
      <c r="A90" s="403"/>
      <c r="B90" s="262"/>
      <c r="C90" s="262"/>
      <c r="D90" s="262"/>
      <c r="E90" s="262"/>
      <c r="F90" s="262"/>
      <c r="G90" s="296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</row>
    <row r="91" spans="1:19" ht="12" customHeight="1">
      <c r="A91" s="1169" t="s">
        <v>405</v>
      </c>
      <c r="B91" s="1162" t="str">
        <f>B69</f>
        <v>UNIDAD DE MEDIDA</v>
      </c>
      <c r="C91" s="1166" t="s">
        <v>118</v>
      </c>
      <c r="D91" s="1166" t="s">
        <v>142</v>
      </c>
      <c r="E91" s="1166" t="s">
        <v>143</v>
      </c>
      <c r="F91" s="1166" t="s">
        <v>341</v>
      </c>
      <c r="G91" s="1164" t="s">
        <v>145</v>
      </c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</row>
    <row r="92" spans="1:19" ht="27" customHeight="1" thickBot="1">
      <c r="A92" s="1170"/>
      <c r="B92" s="1163"/>
      <c r="C92" s="1167"/>
      <c r="D92" s="1167"/>
      <c r="E92" s="1167"/>
      <c r="F92" s="1167"/>
      <c r="G92" s="116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</row>
    <row r="93" spans="1:19">
      <c r="A93" s="409"/>
      <c r="B93" s="397"/>
      <c r="C93" s="192"/>
      <c r="D93" s="192"/>
      <c r="E93" s="192"/>
      <c r="F93" s="192"/>
      <c r="G93" s="410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</row>
    <row r="94" spans="1:19" ht="16">
      <c r="A94" s="437" t="s">
        <v>375</v>
      </c>
      <c r="B94" s="438"/>
      <c r="C94" s="442">
        <v>1</v>
      </c>
      <c r="D94" s="443">
        <f>C94+6%</f>
        <v>1.06</v>
      </c>
      <c r="E94" s="442">
        <f>D94+0%</f>
        <v>1.06</v>
      </c>
      <c r="F94" s="442">
        <f>E94+4%</f>
        <v>1.1000000000000001</v>
      </c>
      <c r="G94" s="444">
        <f>F94+5%</f>
        <v>1.1500000000000001</v>
      </c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</row>
    <row r="95" spans="1:19" ht="6" customHeight="1">
      <c r="A95" s="415"/>
      <c r="B95" s="353"/>
      <c r="C95" s="353"/>
      <c r="D95" s="353"/>
      <c r="E95" s="353"/>
      <c r="F95" s="353"/>
      <c r="G95" s="367"/>
      <c r="H95" s="305"/>
      <c r="I95" s="305"/>
      <c r="J95" s="305"/>
      <c r="K95" s="305"/>
      <c r="L95" s="305"/>
      <c r="M95" s="305"/>
      <c r="N95" s="305"/>
      <c r="O95" s="305"/>
      <c r="P95" s="305"/>
      <c r="Q95" s="305"/>
      <c r="R95" s="305"/>
      <c r="S95" s="305"/>
    </row>
    <row r="96" spans="1:19">
      <c r="A96" s="800" t="str">
        <f t="shared" ref="A96:B99" si="32">A74</f>
        <v>Welcome party</v>
      </c>
      <c r="B96" s="801" t="str">
        <f t="shared" si="32"/>
        <v>APP</v>
      </c>
      <c r="C96" s="802">
        <f>O51*$C$94</f>
        <v>150000</v>
      </c>
      <c r="D96" s="802">
        <f t="shared" ref="D96:D107" si="33">C96*$D$94</f>
        <v>159000</v>
      </c>
      <c r="E96" s="802">
        <f t="shared" ref="E96:E107" si="34">D96*$E$94</f>
        <v>168540</v>
      </c>
      <c r="F96" s="802">
        <f t="shared" ref="F96:F107" si="35">E96*$F$94</f>
        <v>185394.00000000003</v>
      </c>
      <c r="G96" s="803">
        <f t="shared" ref="G96:G107" si="36">F96*$G$94</f>
        <v>213203.10000000006</v>
      </c>
      <c r="H96" s="305"/>
      <c r="I96" s="305"/>
      <c r="J96" s="305"/>
      <c r="K96" s="305"/>
      <c r="L96" s="305"/>
      <c r="M96" s="305"/>
      <c r="N96" s="305"/>
      <c r="O96" s="305"/>
      <c r="P96" s="305"/>
      <c r="Q96" s="305"/>
      <c r="R96" s="305"/>
      <c r="S96" s="305"/>
    </row>
    <row r="97" spans="1:19">
      <c r="A97" s="800" t="str">
        <f t="shared" si="32"/>
        <v>Boda</v>
      </c>
      <c r="B97" s="801" t="str">
        <f t="shared" si="32"/>
        <v>APP</v>
      </c>
      <c r="C97" s="802">
        <f t="shared" ref="C97:C106" si="37">O52*$C$94</f>
        <v>1300000</v>
      </c>
      <c r="D97" s="802">
        <f t="shared" si="33"/>
        <v>1378000</v>
      </c>
      <c r="E97" s="802">
        <f t="shared" si="34"/>
        <v>1460680</v>
      </c>
      <c r="F97" s="802">
        <f t="shared" si="35"/>
        <v>1606748.0000000002</v>
      </c>
      <c r="G97" s="803">
        <f t="shared" si="36"/>
        <v>1847760.2000000004</v>
      </c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</row>
    <row r="98" spans="1:19">
      <c r="A98" s="800" t="str">
        <f t="shared" si="32"/>
        <v>Hora extra</v>
      </c>
      <c r="B98" s="801" t="str">
        <f t="shared" si="32"/>
        <v>APP</v>
      </c>
      <c r="C98" s="802">
        <f t="shared" si="37"/>
        <v>90000</v>
      </c>
      <c r="D98" s="802">
        <f t="shared" si="33"/>
        <v>95400</v>
      </c>
      <c r="E98" s="802">
        <f t="shared" si="34"/>
        <v>101124</v>
      </c>
      <c r="F98" s="802">
        <f t="shared" si="35"/>
        <v>111236.40000000001</v>
      </c>
      <c r="G98" s="803">
        <f t="shared" si="36"/>
        <v>127921.86000000003</v>
      </c>
      <c r="H98" s="305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</row>
    <row r="99" spans="1:19">
      <c r="A99" s="800" t="str">
        <f t="shared" si="32"/>
        <v>Club</v>
      </c>
      <c r="B99" s="801" t="str">
        <f t="shared" si="32"/>
        <v>Plataforma</v>
      </c>
      <c r="C99" s="802">
        <f t="shared" si="37"/>
        <v>6000</v>
      </c>
      <c r="D99" s="802">
        <f t="shared" si="33"/>
        <v>6360</v>
      </c>
      <c r="E99" s="802">
        <f t="shared" si="34"/>
        <v>6741.6</v>
      </c>
      <c r="F99" s="802">
        <f t="shared" si="35"/>
        <v>7415.7600000000011</v>
      </c>
      <c r="G99" s="803">
        <f t="shared" si="36"/>
        <v>8528.1240000000016</v>
      </c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</row>
    <row r="100" spans="1:19">
      <c r="A100" s="800">
        <f t="shared" ref="A100:B106" si="38">A78</f>
        <v>0</v>
      </c>
      <c r="B100" s="801" t="str">
        <f t="shared" si="38"/>
        <v>Plataforma</v>
      </c>
      <c r="C100" s="802">
        <f t="shared" si="37"/>
        <v>0</v>
      </c>
      <c r="D100" s="802">
        <f t="shared" si="33"/>
        <v>0</v>
      </c>
      <c r="E100" s="802">
        <f t="shared" si="34"/>
        <v>0</v>
      </c>
      <c r="F100" s="802">
        <f t="shared" si="35"/>
        <v>0</v>
      </c>
      <c r="G100" s="803">
        <f t="shared" si="36"/>
        <v>0</v>
      </c>
      <c r="H100" s="305"/>
      <c r="I100" s="305"/>
      <c r="J100" s="305"/>
      <c r="K100" s="305"/>
      <c r="L100" s="305"/>
      <c r="M100" s="305"/>
      <c r="N100" s="305"/>
      <c r="O100" s="305"/>
      <c r="P100" s="305"/>
      <c r="Q100" s="305"/>
      <c r="R100" s="305"/>
      <c r="S100" s="305"/>
    </row>
    <row r="101" spans="1:19">
      <c r="A101" s="800">
        <f t="shared" si="38"/>
        <v>0</v>
      </c>
      <c r="B101" s="801" t="str">
        <f t="shared" si="38"/>
        <v>Plataforma</v>
      </c>
      <c r="C101" s="802">
        <f t="shared" si="37"/>
        <v>0</v>
      </c>
      <c r="D101" s="802">
        <f t="shared" si="33"/>
        <v>0</v>
      </c>
      <c r="E101" s="802">
        <f t="shared" si="34"/>
        <v>0</v>
      </c>
      <c r="F101" s="802">
        <f t="shared" si="35"/>
        <v>0</v>
      </c>
      <c r="G101" s="803">
        <f t="shared" si="36"/>
        <v>0</v>
      </c>
      <c r="H101" s="305"/>
      <c r="I101" s="305"/>
      <c r="J101" s="305"/>
      <c r="K101" s="305"/>
      <c r="L101" s="305"/>
      <c r="M101" s="305"/>
      <c r="N101" s="305"/>
      <c r="O101" s="305"/>
      <c r="P101" s="305"/>
      <c r="Q101" s="305"/>
      <c r="R101" s="305"/>
      <c r="S101" s="305"/>
    </row>
    <row r="102" spans="1:19">
      <c r="A102" s="800">
        <f t="shared" si="38"/>
        <v>0</v>
      </c>
      <c r="B102" s="801" t="str">
        <f t="shared" si="38"/>
        <v>Plataforma</v>
      </c>
      <c r="C102" s="802">
        <f t="shared" si="37"/>
        <v>0</v>
      </c>
      <c r="D102" s="802">
        <f t="shared" si="33"/>
        <v>0</v>
      </c>
      <c r="E102" s="802">
        <f t="shared" si="34"/>
        <v>0</v>
      </c>
      <c r="F102" s="802">
        <f t="shared" si="35"/>
        <v>0</v>
      </c>
      <c r="G102" s="803">
        <f t="shared" si="36"/>
        <v>0</v>
      </c>
      <c r="H102" s="305"/>
      <c r="I102" s="305"/>
      <c r="J102" s="305"/>
      <c r="K102" s="305"/>
      <c r="L102" s="305"/>
      <c r="M102" s="305"/>
      <c r="N102" s="305"/>
      <c r="O102" s="305"/>
      <c r="P102" s="305"/>
      <c r="Q102" s="305"/>
      <c r="R102" s="305"/>
      <c r="S102" s="305"/>
    </row>
    <row r="103" spans="1:19">
      <c r="A103" s="800">
        <f t="shared" si="38"/>
        <v>0</v>
      </c>
      <c r="B103" s="801" t="str">
        <f t="shared" si="38"/>
        <v>Redes sociales</v>
      </c>
      <c r="C103" s="802">
        <f t="shared" si="37"/>
        <v>0</v>
      </c>
      <c r="D103" s="802">
        <f t="shared" si="33"/>
        <v>0</v>
      </c>
      <c r="E103" s="802">
        <f t="shared" si="34"/>
        <v>0</v>
      </c>
      <c r="F103" s="802">
        <f t="shared" si="35"/>
        <v>0</v>
      </c>
      <c r="G103" s="803">
        <f t="shared" si="36"/>
        <v>0</v>
      </c>
      <c r="H103" s="305"/>
      <c r="I103" s="305"/>
      <c r="J103" s="305"/>
      <c r="K103" s="305"/>
      <c r="L103" s="305"/>
      <c r="M103" s="305"/>
      <c r="N103" s="305"/>
      <c r="O103" s="305"/>
      <c r="P103" s="305"/>
      <c r="Q103" s="305"/>
      <c r="R103" s="305"/>
      <c r="S103" s="305"/>
    </row>
    <row r="104" spans="1:19">
      <c r="A104" s="800">
        <f t="shared" si="38"/>
        <v>0</v>
      </c>
      <c r="B104" s="801">
        <f t="shared" si="38"/>
        <v>1</v>
      </c>
      <c r="C104" s="802">
        <f t="shared" si="37"/>
        <v>0</v>
      </c>
      <c r="D104" s="802">
        <f t="shared" si="33"/>
        <v>0</v>
      </c>
      <c r="E104" s="802">
        <f t="shared" si="34"/>
        <v>0</v>
      </c>
      <c r="F104" s="802">
        <f t="shared" si="35"/>
        <v>0</v>
      </c>
      <c r="G104" s="803">
        <f t="shared" si="36"/>
        <v>0</v>
      </c>
      <c r="H104" s="305"/>
      <c r="I104" s="305"/>
      <c r="J104" s="305"/>
      <c r="K104" s="305"/>
      <c r="L104" s="305"/>
      <c r="M104" s="305"/>
      <c r="N104" s="305"/>
      <c r="O104" s="305"/>
      <c r="P104" s="305"/>
      <c r="Q104" s="305"/>
      <c r="R104" s="305"/>
      <c r="S104" s="305"/>
    </row>
    <row r="105" spans="1:19">
      <c r="A105" s="800">
        <f t="shared" si="38"/>
        <v>0</v>
      </c>
      <c r="B105" s="801">
        <f t="shared" si="38"/>
        <v>1</v>
      </c>
      <c r="C105" s="802">
        <f t="shared" si="37"/>
        <v>0</v>
      </c>
      <c r="D105" s="802">
        <f t="shared" si="33"/>
        <v>0</v>
      </c>
      <c r="E105" s="802">
        <f t="shared" si="34"/>
        <v>0</v>
      </c>
      <c r="F105" s="802">
        <f t="shared" si="35"/>
        <v>0</v>
      </c>
      <c r="G105" s="803">
        <f t="shared" si="36"/>
        <v>0</v>
      </c>
      <c r="H105" s="305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</row>
    <row r="106" spans="1:19">
      <c r="A106" s="800">
        <f t="shared" si="38"/>
        <v>0</v>
      </c>
      <c r="B106" s="801">
        <f t="shared" si="38"/>
        <v>0</v>
      </c>
      <c r="C106" s="802">
        <f t="shared" si="37"/>
        <v>0</v>
      </c>
      <c r="D106" s="802">
        <f t="shared" si="33"/>
        <v>0</v>
      </c>
      <c r="E106" s="802">
        <f t="shared" si="34"/>
        <v>0</v>
      </c>
      <c r="F106" s="802">
        <f t="shared" si="35"/>
        <v>0</v>
      </c>
      <c r="G106" s="803">
        <f t="shared" si="36"/>
        <v>0</v>
      </c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</row>
    <row r="107" spans="1:19" ht="14" thickBot="1">
      <c r="A107" s="800">
        <f>A85</f>
        <v>0</v>
      </c>
      <c r="B107" s="801">
        <f>B85</f>
        <v>0</v>
      </c>
      <c r="C107" s="802">
        <f>O62*$C$94</f>
        <v>0</v>
      </c>
      <c r="D107" s="802">
        <f t="shared" si="33"/>
        <v>0</v>
      </c>
      <c r="E107" s="802">
        <f t="shared" si="34"/>
        <v>0</v>
      </c>
      <c r="F107" s="802">
        <f t="shared" si="35"/>
        <v>0</v>
      </c>
      <c r="G107" s="803">
        <f t="shared" si="36"/>
        <v>0</v>
      </c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</row>
    <row r="108" spans="1:19" ht="21" customHeight="1" thickBot="1">
      <c r="A108" s="445" t="s">
        <v>342</v>
      </c>
      <c r="B108" s="446"/>
      <c r="C108" s="447">
        <f>SUM(C96:C107)</f>
        <v>1546000</v>
      </c>
      <c r="D108" s="447">
        <f>SUM(D96:D107)</f>
        <v>1638760</v>
      </c>
      <c r="E108" s="447">
        <f>SUM(E96:E107)</f>
        <v>1737085.6</v>
      </c>
      <c r="F108" s="447">
        <f>SUM(F96:F107)</f>
        <v>1910794.1600000001</v>
      </c>
      <c r="G108" s="448">
        <f>SUM(G96:G107)</f>
        <v>2197413.2840000005</v>
      </c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</row>
    <row r="109" spans="1:19">
      <c r="A109" s="305"/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  <c r="O109" s="305"/>
      <c r="P109" s="305"/>
      <c r="Q109" s="305"/>
      <c r="R109" s="305"/>
      <c r="S109" s="305"/>
    </row>
    <row r="110" spans="1:19" ht="14" thickBot="1">
      <c r="A110" s="305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</row>
    <row r="111" spans="1:19" ht="28.5" customHeight="1" thickBot="1">
      <c r="A111" s="1171" t="s">
        <v>479</v>
      </c>
      <c r="B111" s="1172"/>
      <c r="C111" s="1172"/>
      <c r="D111" s="1172"/>
      <c r="E111" s="1172"/>
      <c r="F111" s="1172"/>
      <c r="G111" s="1173"/>
      <c r="H111" s="305"/>
      <c r="I111" s="305"/>
      <c r="J111" s="305"/>
      <c r="K111" s="305"/>
      <c r="L111" s="305"/>
      <c r="M111" s="305"/>
      <c r="N111" s="305"/>
      <c r="O111" s="305"/>
      <c r="P111" s="305"/>
      <c r="Q111" s="305"/>
      <c r="R111" s="305"/>
      <c r="S111" s="305"/>
    </row>
    <row r="112" spans="1:19" ht="14" thickBot="1">
      <c r="A112" s="403"/>
      <c r="B112" s="262"/>
      <c r="C112" s="262"/>
      <c r="D112" s="262"/>
      <c r="E112" s="262"/>
      <c r="F112" s="262"/>
      <c r="G112" s="296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</row>
    <row r="113" spans="1:19" ht="12" customHeight="1">
      <c r="A113" s="1169" t="s">
        <v>392</v>
      </c>
      <c r="B113" s="416"/>
      <c r="C113" s="1166" t="s">
        <v>118</v>
      </c>
      <c r="D113" s="1166" t="s">
        <v>142</v>
      </c>
      <c r="E113" s="1166" t="s">
        <v>143</v>
      </c>
      <c r="F113" s="1166" t="s">
        <v>341</v>
      </c>
      <c r="G113" s="1164" t="s">
        <v>145</v>
      </c>
      <c r="H113" s="305"/>
      <c r="I113" s="305"/>
      <c r="J113" s="305"/>
      <c r="K113" s="305"/>
      <c r="L113" s="305"/>
      <c r="M113" s="305"/>
      <c r="N113" s="305"/>
      <c r="O113" s="305"/>
      <c r="P113" s="305"/>
      <c r="Q113" s="305"/>
      <c r="R113" s="305"/>
      <c r="S113" s="305"/>
    </row>
    <row r="114" spans="1:19" ht="23.25" customHeight="1" thickBot="1">
      <c r="A114" s="1170"/>
      <c r="B114" s="417"/>
      <c r="C114" s="1167"/>
      <c r="D114" s="1167"/>
      <c r="E114" s="1167"/>
      <c r="F114" s="1167"/>
      <c r="G114" s="1165"/>
      <c r="H114" s="305"/>
      <c r="I114" s="305"/>
      <c r="J114" s="305"/>
      <c r="K114" s="305"/>
      <c r="L114" s="305"/>
      <c r="M114" s="305"/>
      <c r="N114" s="305"/>
      <c r="O114" s="305"/>
      <c r="P114" s="305"/>
      <c r="Q114" s="305"/>
      <c r="R114" s="305"/>
      <c r="S114" s="305"/>
    </row>
    <row r="115" spans="1:19">
      <c r="A115" s="409"/>
      <c r="B115" s="397"/>
      <c r="C115" s="192"/>
      <c r="D115" s="418"/>
      <c r="E115" s="418"/>
      <c r="F115" s="418"/>
      <c r="G115" s="410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</row>
    <row r="116" spans="1:19" ht="16.5" customHeight="1">
      <c r="A116" s="807" t="s">
        <v>407</v>
      </c>
      <c r="B116" s="801"/>
      <c r="C116" s="808">
        <v>1</v>
      </c>
      <c r="D116" s="808">
        <f>D72*D94</f>
        <v>1.1660000000000001</v>
      </c>
      <c r="E116" s="808">
        <f>E72*E94</f>
        <v>1.2720000000000002</v>
      </c>
      <c r="F116" s="808">
        <f>F72*F94</f>
        <v>1.4850000000000003</v>
      </c>
      <c r="G116" s="809">
        <f>G72*G94</f>
        <v>1.5525000000000002</v>
      </c>
      <c r="H116" s="305"/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</row>
    <row r="117" spans="1:19">
      <c r="A117" s="415"/>
      <c r="B117" s="353"/>
      <c r="C117" s="353"/>
      <c r="D117" s="353"/>
      <c r="E117" s="353"/>
      <c r="F117" s="353"/>
      <c r="G117" s="367"/>
      <c r="H117" s="305"/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</row>
    <row r="118" spans="1:19">
      <c r="A118" s="800" t="str">
        <f>A96</f>
        <v>Welcome party</v>
      </c>
      <c r="B118" s="801"/>
      <c r="C118" s="802">
        <f>C96</f>
        <v>150000</v>
      </c>
      <c r="D118" s="802">
        <f t="shared" ref="D118:D129" si="39">C118*$D$116</f>
        <v>174900.00000000003</v>
      </c>
      <c r="E118" s="802">
        <f t="shared" ref="E118:E129" si="40">D118*$E$116</f>
        <v>222472.80000000008</v>
      </c>
      <c r="F118" s="802">
        <f t="shared" ref="F118:F129" si="41">E118*$F$116</f>
        <v>330372.10800000018</v>
      </c>
      <c r="G118" s="803">
        <f t="shared" ref="G118:G129" si="42">F118*$G$116</f>
        <v>512902.69767000037</v>
      </c>
      <c r="H118" s="305"/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</row>
    <row r="119" spans="1:19">
      <c r="A119" s="800" t="str">
        <f>A97</f>
        <v>Boda</v>
      </c>
      <c r="B119" s="801"/>
      <c r="C119" s="802">
        <f t="shared" ref="C119:C129" si="43">C97</f>
        <v>1300000</v>
      </c>
      <c r="D119" s="802">
        <f t="shared" si="39"/>
        <v>1515800.0000000002</v>
      </c>
      <c r="E119" s="802">
        <f t="shared" si="40"/>
        <v>1928097.6000000006</v>
      </c>
      <c r="F119" s="802">
        <f t="shared" si="41"/>
        <v>2863224.9360000016</v>
      </c>
      <c r="G119" s="803">
        <f t="shared" si="42"/>
        <v>4445156.7131400034</v>
      </c>
      <c r="H119" s="305"/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</row>
    <row r="120" spans="1:19">
      <c r="A120" s="800" t="str">
        <f>A98</f>
        <v>Hora extra</v>
      </c>
      <c r="B120" s="801"/>
      <c r="C120" s="802">
        <f t="shared" si="43"/>
        <v>90000</v>
      </c>
      <c r="D120" s="802">
        <f t="shared" si="39"/>
        <v>104940.00000000001</v>
      </c>
      <c r="E120" s="802">
        <f t="shared" si="40"/>
        <v>133483.68000000005</v>
      </c>
      <c r="F120" s="802">
        <f t="shared" si="41"/>
        <v>198223.26480000012</v>
      </c>
      <c r="G120" s="803">
        <f t="shared" si="42"/>
        <v>307741.61860200024</v>
      </c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</row>
    <row r="121" spans="1:19">
      <c r="A121" s="800" t="str">
        <f>A99</f>
        <v>Club</v>
      </c>
      <c r="B121" s="801"/>
      <c r="C121" s="802">
        <f t="shared" si="43"/>
        <v>6000</v>
      </c>
      <c r="D121" s="802">
        <f t="shared" si="39"/>
        <v>6996.0000000000009</v>
      </c>
      <c r="E121" s="802">
        <f t="shared" si="40"/>
        <v>8898.9120000000021</v>
      </c>
      <c r="F121" s="802">
        <f t="shared" si="41"/>
        <v>13214.884320000006</v>
      </c>
      <c r="G121" s="803">
        <f t="shared" si="42"/>
        <v>20516.107906800014</v>
      </c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</row>
    <row r="122" spans="1:19">
      <c r="A122" s="800">
        <f t="shared" ref="A122:A129" si="44">A100</f>
        <v>0</v>
      </c>
      <c r="B122" s="804"/>
      <c r="C122" s="802">
        <f t="shared" si="43"/>
        <v>0</v>
      </c>
      <c r="D122" s="802">
        <f t="shared" si="39"/>
        <v>0</v>
      </c>
      <c r="E122" s="802">
        <f t="shared" si="40"/>
        <v>0</v>
      </c>
      <c r="F122" s="802">
        <f t="shared" si="41"/>
        <v>0</v>
      </c>
      <c r="G122" s="803">
        <f t="shared" si="42"/>
        <v>0</v>
      </c>
      <c r="H122" s="305"/>
      <c r="I122" s="305"/>
      <c r="J122" s="305"/>
      <c r="K122" s="305"/>
      <c r="L122" s="305"/>
      <c r="M122" s="305"/>
      <c r="N122" s="305"/>
      <c r="O122" s="305"/>
      <c r="P122" s="305"/>
      <c r="Q122" s="305"/>
      <c r="R122" s="305"/>
      <c r="S122" s="305"/>
    </row>
    <row r="123" spans="1:19">
      <c r="A123" s="800">
        <f t="shared" si="44"/>
        <v>0</v>
      </c>
      <c r="B123" s="804"/>
      <c r="C123" s="802">
        <f t="shared" si="43"/>
        <v>0</v>
      </c>
      <c r="D123" s="802">
        <f t="shared" si="39"/>
        <v>0</v>
      </c>
      <c r="E123" s="802">
        <f t="shared" si="40"/>
        <v>0</v>
      </c>
      <c r="F123" s="802">
        <f t="shared" si="41"/>
        <v>0</v>
      </c>
      <c r="G123" s="803">
        <f t="shared" si="42"/>
        <v>0</v>
      </c>
      <c r="H123" s="305"/>
      <c r="I123" s="305"/>
      <c r="J123" s="305"/>
      <c r="K123" s="305"/>
      <c r="L123" s="305"/>
      <c r="M123" s="305"/>
      <c r="N123" s="305"/>
      <c r="O123" s="305"/>
      <c r="P123" s="305"/>
      <c r="Q123" s="305"/>
      <c r="R123" s="305"/>
      <c r="S123" s="305"/>
    </row>
    <row r="124" spans="1:19">
      <c r="A124" s="800">
        <f t="shared" si="44"/>
        <v>0</v>
      </c>
      <c r="B124" s="804"/>
      <c r="C124" s="802">
        <f t="shared" si="43"/>
        <v>0</v>
      </c>
      <c r="D124" s="802">
        <f t="shared" si="39"/>
        <v>0</v>
      </c>
      <c r="E124" s="802">
        <f t="shared" si="40"/>
        <v>0</v>
      </c>
      <c r="F124" s="802">
        <f t="shared" si="41"/>
        <v>0</v>
      </c>
      <c r="G124" s="803">
        <f t="shared" si="42"/>
        <v>0</v>
      </c>
      <c r="H124" s="305"/>
      <c r="I124" s="305"/>
      <c r="J124" s="305"/>
      <c r="K124" s="305"/>
      <c r="L124" s="305"/>
      <c r="M124" s="305"/>
      <c r="N124" s="305"/>
      <c r="O124" s="305"/>
      <c r="P124" s="305"/>
      <c r="Q124" s="305"/>
      <c r="R124" s="305"/>
      <c r="S124" s="305"/>
    </row>
    <row r="125" spans="1:19">
      <c r="A125" s="800">
        <f t="shared" si="44"/>
        <v>0</v>
      </c>
      <c r="B125" s="804"/>
      <c r="C125" s="802">
        <f t="shared" si="43"/>
        <v>0</v>
      </c>
      <c r="D125" s="802">
        <f t="shared" si="39"/>
        <v>0</v>
      </c>
      <c r="E125" s="802">
        <f t="shared" si="40"/>
        <v>0</v>
      </c>
      <c r="F125" s="802">
        <f t="shared" si="41"/>
        <v>0</v>
      </c>
      <c r="G125" s="803">
        <f t="shared" si="42"/>
        <v>0</v>
      </c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</row>
    <row r="126" spans="1:19">
      <c r="A126" s="800">
        <f t="shared" si="44"/>
        <v>0</v>
      </c>
      <c r="B126" s="804"/>
      <c r="C126" s="802">
        <f t="shared" si="43"/>
        <v>0</v>
      </c>
      <c r="D126" s="802">
        <f t="shared" si="39"/>
        <v>0</v>
      </c>
      <c r="E126" s="802">
        <f t="shared" si="40"/>
        <v>0</v>
      </c>
      <c r="F126" s="802">
        <f t="shared" si="41"/>
        <v>0</v>
      </c>
      <c r="G126" s="803">
        <f t="shared" si="42"/>
        <v>0</v>
      </c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</row>
    <row r="127" spans="1:19">
      <c r="A127" s="800">
        <f t="shared" si="44"/>
        <v>0</v>
      </c>
      <c r="B127" s="804"/>
      <c r="C127" s="802">
        <f t="shared" si="43"/>
        <v>0</v>
      </c>
      <c r="D127" s="802">
        <f t="shared" si="39"/>
        <v>0</v>
      </c>
      <c r="E127" s="802">
        <f t="shared" si="40"/>
        <v>0</v>
      </c>
      <c r="F127" s="802">
        <f t="shared" si="41"/>
        <v>0</v>
      </c>
      <c r="G127" s="803">
        <f t="shared" si="42"/>
        <v>0</v>
      </c>
      <c r="H127" s="305"/>
      <c r="I127" s="305"/>
      <c r="J127" s="305"/>
      <c r="K127" s="305"/>
      <c r="L127" s="305"/>
      <c r="M127" s="305"/>
      <c r="N127" s="305"/>
      <c r="O127" s="305"/>
      <c r="P127" s="305"/>
      <c r="Q127" s="305"/>
      <c r="R127" s="305"/>
      <c r="S127" s="305"/>
    </row>
    <row r="128" spans="1:19">
      <c r="A128" s="800">
        <f t="shared" si="44"/>
        <v>0</v>
      </c>
      <c r="B128" s="805"/>
      <c r="C128" s="802">
        <f t="shared" si="43"/>
        <v>0</v>
      </c>
      <c r="D128" s="802">
        <f t="shared" si="39"/>
        <v>0</v>
      </c>
      <c r="E128" s="802">
        <f t="shared" si="40"/>
        <v>0</v>
      </c>
      <c r="F128" s="802">
        <f t="shared" si="41"/>
        <v>0</v>
      </c>
      <c r="G128" s="803">
        <f t="shared" si="42"/>
        <v>0</v>
      </c>
      <c r="H128" s="305"/>
      <c r="I128" s="305"/>
      <c r="J128" s="305"/>
      <c r="K128" s="305"/>
      <c r="L128" s="305"/>
      <c r="M128" s="305"/>
      <c r="N128" s="305"/>
      <c r="O128" s="305"/>
      <c r="P128" s="305"/>
      <c r="Q128" s="305"/>
      <c r="R128" s="305"/>
      <c r="S128" s="305"/>
    </row>
    <row r="129" spans="1:19" ht="14" thickBot="1">
      <c r="A129" s="800">
        <f t="shared" si="44"/>
        <v>0</v>
      </c>
      <c r="B129" s="806"/>
      <c r="C129" s="802">
        <f t="shared" si="43"/>
        <v>0</v>
      </c>
      <c r="D129" s="802">
        <f t="shared" si="39"/>
        <v>0</v>
      </c>
      <c r="E129" s="802">
        <f t="shared" si="40"/>
        <v>0</v>
      </c>
      <c r="F129" s="802">
        <f t="shared" si="41"/>
        <v>0</v>
      </c>
      <c r="G129" s="803">
        <f t="shared" si="42"/>
        <v>0</v>
      </c>
      <c r="H129" s="305"/>
      <c r="I129" s="305"/>
      <c r="J129" s="305"/>
      <c r="K129" s="305"/>
      <c r="L129" s="305"/>
      <c r="M129" s="305"/>
      <c r="N129" s="305"/>
      <c r="O129" s="305"/>
      <c r="P129" s="305"/>
      <c r="Q129" s="305"/>
      <c r="R129" s="305"/>
      <c r="S129" s="305"/>
    </row>
    <row r="130" spans="1:19" ht="15" thickBot="1">
      <c r="A130" s="445" t="s">
        <v>342</v>
      </c>
      <c r="B130" s="446"/>
      <c r="C130" s="447">
        <f>SUM(C118:C129)</f>
        <v>1546000</v>
      </c>
      <c r="D130" s="447">
        <f>SUM(D118:D129)</f>
        <v>1802636.0000000002</v>
      </c>
      <c r="E130" s="447">
        <f>SUM(E118:E129)</f>
        <v>2292952.992000001</v>
      </c>
      <c r="F130" s="447">
        <f>SUM(F118:F129)</f>
        <v>3405035.1931200018</v>
      </c>
      <c r="G130" s="448">
        <f>SUM(G118:G129)</f>
        <v>5286317.1373188039</v>
      </c>
      <c r="H130" s="305"/>
      <c r="I130" s="305"/>
      <c r="J130" s="305"/>
      <c r="K130" s="305"/>
      <c r="L130" s="305"/>
      <c r="M130" s="305"/>
      <c r="N130" s="305"/>
      <c r="O130" s="305"/>
      <c r="P130" s="305"/>
      <c r="Q130" s="305"/>
      <c r="R130" s="305"/>
      <c r="S130" s="305"/>
    </row>
    <row r="131" spans="1:19">
      <c r="A131" s="305"/>
      <c r="B131" s="305"/>
      <c r="C131" s="305"/>
      <c r="D131" s="305"/>
      <c r="E131" s="305"/>
      <c r="F131" s="305"/>
      <c r="G131" s="305"/>
      <c r="H131" s="305"/>
      <c r="I131" s="305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</row>
    <row r="132" spans="1:19">
      <c r="A132" s="305"/>
      <c r="B132" s="305"/>
      <c r="C132" s="305"/>
      <c r="D132" s="305"/>
      <c r="E132" s="305"/>
      <c r="F132" s="305"/>
      <c r="G132" s="305"/>
      <c r="H132" s="305"/>
      <c r="P132" s="305"/>
      <c r="Q132" s="305"/>
      <c r="R132" s="305"/>
      <c r="S132" s="305"/>
    </row>
    <row r="133" spans="1:19">
      <c r="A133" s="305"/>
      <c r="B133" s="305"/>
      <c r="C133" s="305"/>
      <c r="D133" s="305"/>
      <c r="E133" s="305"/>
      <c r="F133" s="305"/>
      <c r="G133" s="305"/>
      <c r="H133" s="305"/>
      <c r="P133" s="305"/>
      <c r="Q133" s="305"/>
      <c r="R133" s="305"/>
      <c r="S133" s="305"/>
    </row>
    <row r="134" spans="1:19">
      <c r="A134" s="305"/>
      <c r="B134" s="305"/>
      <c r="C134" s="305"/>
      <c r="D134" s="305"/>
      <c r="E134" s="305"/>
      <c r="F134" s="305"/>
      <c r="G134" s="305"/>
      <c r="H134" s="305"/>
      <c r="P134" s="305"/>
      <c r="Q134" s="305"/>
      <c r="R134" s="305"/>
      <c r="S134" s="305"/>
    </row>
    <row r="135" spans="1:19">
      <c r="A135" s="305"/>
      <c r="B135" s="305"/>
      <c r="C135" s="305"/>
      <c r="D135" s="305"/>
      <c r="E135" s="305"/>
      <c r="F135" s="305"/>
      <c r="G135" s="305"/>
      <c r="H135" s="305"/>
      <c r="P135" s="305"/>
      <c r="Q135" s="305"/>
      <c r="R135" s="305"/>
      <c r="S135" s="305"/>
    </row>
    <row r="136" spans="1:19">
      <c r="A136" s="305"/>
      <c r="B136" s="305"/>
      <c r="C136" s="305"/>
      <c r="D136" s="305"/>
      <c r="E136" s="305"/>
      <c r="F136" s="305"/>
      <c r="G136" s="305"/>
      <c r="H136" s="305"/>
      <c r="P136" s="305"/>
      <c r="Q136" s="305"/>
      <c r="R136" s="305"/>
      <c r="S136" s="305"/>
    </row>
  </sheetData>
  <mergeCells count="57">
    <mergeCell ref="G113:G114"/>
    <mergeCell ref="C69:C70"/>
    <mergeCell ref="A69:A70"/>
    <mergeCell ref="D69:D70"/>
    <mergeCell ref="E69:E70"/>
    <mergeCell ref="A113:A114"/>
    <mergeCell ref="D113:D114"/>
    <mergeCell ref="E113:E114"/>
    <mergeCell ref="F113:F114"/>
    <mergeCell ref="C113:C114"/>
    <mergeCell ref="F69:F70"/>
    <mergeCell ref="A111:G111"/>
    <mergeCell ref="A1:G1"/>
    <mergeCell ref="A49:A50"/>
    <mergeCell ref="D49:D50"/>
    <mergeCell ref="E49:E50"/>
    <mergeCell ref="F49:F50"/>
    <mergeCell ref="A29:A30"/>
    <mergeCell ref="D29:D30"/>
    <mergeCell ref="C49:C50"/>
    <mergeCell ref="C29:C30"/>
    <mergeCell ref="E29:E30"/>
    <mergeCell ref="F29:F30"/>
    <mergeCell ref="A3:E3"/>
    <mergeCell ref="A5:E5"/>
    <mergeCell ref="A27:N27"/>
    <mergeCell ref="G49:G50"/>
    <mergeCell ref="K29:K30"/>
    <mergeCell ref="O29:O30"/>
    <mergeCell ref="M29:M30"/>
    <mergeCell ref="B29:B30"/>
    <mergeCell ref="L49:L50"/>
    <mergeCell ref="M49:M50"/>
    <mergeCell ref="N49:N50"/>
    <mergeCell ref="L29:L30"/>
    <mergeCell ref="J29:J30"/>
    <mergeCell ref="H29:H30"/>
    <mergeCell ref="J49:J50"/>
    <mergeCell ref="I49:I50"/>
    <mergeCell ref="K49:K50"/>
    <mergeCell ref="O49:O50"/>
    <mergeCell ref="B49:B50"/>
    <mergeCell ref="A47:N47"/>
    <mergeCell ref="I29:I30"/>
    <mergeCell ref="H49:H50"/>
    <mergeCell ref="A91:A92"/>
    <mergeCell ref="D91:D92"/>
    <mergeCell ref="E91:E92"/>
    <mergeCell ref="F91:F92"/>
    <mergeCell ref="A67:G67"/>
    <mergeCell ref="A89:G89"/>
    <mergeCell ref="B69:B70"/>
    <mergeCell ref="G29:G30"/>
    <mergeCell ref="G69:G70"/>
    <mergeCell ref="B91:B92"/>
    <mergeCell ref="G91:G92"/>
    <mergeCell ref="C91:C92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L66"/>
  <sheetViews>
    <sheetView topLeftCell="A44" zoomScaleNormal="100" workbookViewId="0">
      <selection activeCell="G39" sqref="G39"/>
    </sheetView>
  </sheetViews>
  <sheetFormatPr baseColWidth="10" defaultColWidth="11" defaultRowHeight="13"/>
  <cols>
    <col min="1" max="1" width="25.83203125" style="187" customWidth="1"/>
    <col min="2" max="2" width="17.33203125" style="187" customWidth="1"/>
    <col min="3" max="3" width="18.1640625" style="187" customWidth="1"/>
    <col min="4" max="4" width="17.1640625" style="187" customWidth="1"/>
    <col min="5" max="5" width="16.83203125" style="187" customWidth="1"/>
    <col min="6" max="6" width="18.5" style="187" customWidth="1"/>
    <col min="7" max="7" width="16.83203125" style="187" customWidth="1"/>
    <col min="8" max="8" width="12.6640625" style="187" bestFit="1" customWidth="1"/>
    <col min="9" max="9" width="14.83203125" style="187" customWidth="1"/>
    <col min="10" max="10" width="12.33203125" style="187" customWidth="1"/>
    <col min="11" max="11" width="15" style="187" customWidth="1"/>
    <col min="12" max="12" width="12.83203125" style="187" customWidth="1"/>
    <col min="13" max="16384" width="11" style="187"/>
  </cols>
  <sheetData>
    <row r="1" spans="1:11" ht="23">
      <c r="A1" s="1195"/>
      <c r="B1" s="1195"/>
      <c r="C1" s="1195"/>
      <c r="D1" s="1195"/>
      <c r="E1" s="1195"/>
      <c r="F1" s="1195"/>
      <c r="G1" s="1195"/>
      <c r="H1" s="1195"/>
      <c r="I1" s="1195"/>
      <c r="J1" s="1195"/>
      <c r="K1" s="1195"/>
    </row>
    <row r="2" spans="1:11">
      <c r="A2" s="1196">
        <f>INVERSION!A6</f>
        <v>0</v>
      </c>
      <c r="B2" s="1196"/>
      <c r="C2" s="1196"/>
      <c r="D2" s="1196"/>
      <c r="E2" s="1196"/>
      <c r="F2" s="1196"/>
      <c r="G2" s="1196"/>
      <c r="H2" s="1196"/>
      <c r="I2" s="1196"/>
      <c r="J2" s="1196"/>
      <c r="K2" s="1196"/>
    </row>
    <row r="3" spans="1:11">
      <c r="A3" s="1196"/>
      <c r="B3" s="1196"/>
      <c r="C3" s="1196"/>
      <c r="D3" s="1196"/>
      <c r="E3" s="1196"/>
      <c r="F3" s="1196"/>
      <c r="G3" s="1196"/>
      <c r="H3" s="1196"/>
      <c r="I3" s="1196"/>
      <c r="J3" s="1196"/>
      <c r="K3" s="1196"/>
    </row>
    <row r="4" spans="1:11" ht="18">
      <c r="A4" s="449"/>
      <c r="B4" s="449"/>
      <c r="C4" s="449"/>
      <c r="D4" s="449"/>
      <c r="E4" s="449"/>
      <c r="F4" s="449"/>
      <c r="G4" s="449"/>
      <c r="H4" s="449"/>
      <c r="I4" s="449"/>
      <c r="J4" s="449"/>
      <c r="K4" s="449"/>
    </row>
    <row r="5" spans="1:11" ht="23.25" customHeight="1">
      <c r="A5" s="1197" t="s">
        <v>440</v>
      </c>
      <c r="B5" s="1197"/>
      <c r="C5" s="1197"/>
      <c r="D5" s="1197"/>
      <c r="E5" s="1197"/>
      <c r="F5" s="1197"/>
      <c r="G5" s="1197"/>
      <c r="H5" s="1197"/>
      <c r="I5" s="1197"/>
      <c r="J5" s="1197"/>
      <c r="K5" s="1197"/>
    </row>
    <row r="6" spans="1:11" ht="14" thickBot="1"/>
    <row r="7" spans="1:11" ht="26" thickBot="1">
      <c r="A7" s="1154" t="s">
        <v>481</v>
      </c>
      <c r="B7" s="1155"/>
      <c r="C7" s="1155"/>
      <c r="D7" s="1155"/>
      <c r="E7" s="1155"/>
      <c r="F7" s="1155"/>
      <c r="G7" s="1155"/>
      <c r="H7" s="1155"/>
      <c r="I7" s="1155"/>
      <c r="J7" s="1155"/>
      <c r="K7" s="1156"/>
    </row>
    <row r="8" spans="1:11" ht="14" thickBot="1">
      <c r="A8" s="300"/>
      <c r="B8" s="397"/>
      <c r="C8" s="397"/>
      <c r="D8" s="397"/>
      <c r="E8" s="397"/>
      <c r="F8" s="397"/>
      <c r="G8" s="397"/>
      <c r="H8" s="397"/>
      <c r="I8" s="397"/>
      <c r="J8" s="397"/>
      <c r="K8" s="413"/>
    </row>
    <row r="9" spans="1:11" ht="57" thickBot="1">
      <c r="A9" s="464" t="s">
        <v>36</v>
      </c>
      <c r="B9" s="465" t="s">
        <v>442</v>
      </c>
      <c r="C9" s="827" t="s">
        <v>446</v>
      </c>
      <c r="D9" s="827" t="s">
        <v>447</v>
      </c>
      <c r="E9" s="827" t="s">
        <v>448</v>
      </c>
      <c r="F9" s="827" t="s">
        <v>449</v>
      </c>
      <c r="G9" s="827" t="s">
        <v>450</v>
      </c>
      <c r="H9" s="466"/>
      <c r="I9" s="827" t="s">
        <v>484</v>
      </c>
      <c r="J9" s="829" t="s">
        <v>445</v>
      </c>
      <c r="K9" s="467"/>
    </row>
    <row r="10" spans="1:11">
      <c r="A10" s="451" t="str">
        <f>Pres.Ventas!A96</f>
        <v>Welcome party</v>
      </c>
      <c r="B10" s="452" t="str">
        <f>Pres.Ventas!B11</f>
        <v>servicio</v>
      </c>
      <c r="C10" s="828">
        <v>0</v>
      </c>
      <c r="D10" s="828">
        <v>0</v>
      </c>
      <c r="E10" s="828">
        <v>0</v>
      </c>
      <c r="F10" s="828">
        <v>0</v>
      </c>
      <c r="G10" s="828">
        <v>1</v>
      </c>
      <c r="H10" s="472"/>
      <c r="I10" s="828">
        <v>1</v>
      </c>
      <c r="J10" s="830">
        <v>0</v>
      </c>
      <c r="K10" s="473"/>
    </row>
    <row r="11" spans="1:11">
      <c r="A11" s="451" t="str">
        <f>Pres.Ventas!A97</f>
        <v>Boda</v>
      </c>
      <c r="B11" s="452" t="str">
        <f>Pres.Ventas!B12</f>
        <v>servicio</v>
      </c>
      <c r="C11" s="828">
        <v>0</v>
      </c>
      <c r="D11" s="828">
        <v>0</v>
      </c>
      <c r="E11" s="828">
        <v>0</v>
      </c>
      <c r="F11" s="828">
        <v>0</v>
      </c>
      <c r="G11" s="828">
        <v>1</v>
      </c>
      <c r="H11" s="472"/>
      <c r="I11" s="828">
        <v>1</v>
      </c>
      <c r="J11" s="830">
        <v>0</v>
      </c>
      <c r="K11" s="473"/>
    </row>
    <row r="12" spans="1:11">
      <c r="A12" s="451" t="str">
        <f>Pres.Ventas!A98</f>
        <v>Hora extra</v>
      </c>
      <c r="B12" s="452" t="str">
        <f>Pres.Ventas!B13</f>
        <v>servicio</v>
      </c>
      <c r="C12" s="828">
        <v>0</v>
      </c>
      <c r="D12" s="828">
        <v>0</v>
      </c>
      <c r="E12" s="828">
        <v>0</v>
      </c>
      <c r="F12" s="828">
        <v>0</v>
      </c>
      <c r="G12" s="828">
        <v>1</v>
      </c>
      <c r="H12" s="472"/>
      <c r="I12" s="828">
        <v>1</v>
      </c>
      <c r="J12" s="830">
        <v>0</v>
      </c>
      <c r="K12" s="473"/>
    </row>
    <row r="13" spans="1:11">
      <c r="A13" s="451" t="str">
        <f>Pres.Ventas!A99</f>
        <v>Club</v>
      </c>
      <c r="B13" s="452" t="str">
        <f>Pres.Ventas!B14</f>
        <v>servicio</v>
      </c>
      <c r="C13" s="828">
        <v>0</v>
      </c>
      <c r="D13" s="828">
        <v>0</v>
      </c>
      <c r="E13" s="828">
        <v>0</v>
      </c>
      <c r="F13" s="828">
        <v>0</v>
      </c>
      <c r="G13" s="828">
        <v>1</v>
      </c>
      <c r="H13" s="472"/>
      <c r="I13" s="828">
        <v>1</v>
      </c>
      <c r="J13" s="830">
        <v>0</v>
      </c>
      <c r="K13" s="473"/>
    </row>
    <row r="14" spans="1:11">
      <c r="A14" s="451">
        <f>Pres.Ventas!A100</f>
        <v>0</v>
      </c>
      <c r="B14" s="452">
        <f>Pres.Ventas!B15</f>
        <v>0</v>
      </c>
      <c r="C14" s="828">
        <v>0</v>
      </c>
      <c r="D14" s="828">
        <v>0</v>
      </c>
      <c r="E14" s="828">
        <v>0</v>
      </c>
      <c r="F14" s="828">
        <v>0</v>
      </c>
      <c r="G14" s="828">
        <v>1</v>
      </c>
      <c r="H14" s="472"/>
      <c r="I14" s="828">
        <v>1</v>
      </c>
      <c r="J14" s="830">
        <v>0</v>
      </c>
      <c r="K14" s="473"/>
    </row>
    <row r="15" spans="1:11">
      <c r="A15" s="451">
        <f>Pres.Ventas!A101</f>
        <v>0</v>
      </c>
      <c r="B15" s="452">
        <f>Pres.Ventas!B16</f>
        <v>0</v>
      </c>
      <c r="C15" s="828">
        <v>0</v>
      </c>
      <c r="D15" s="828">
        <v>0</v>
      </c>
      <c r="E15" s="828">
        <v>0</v>
      </c>
      <c r="F15" s="828">
        <v>0</v>
      </c>
      <c r="G15" s="828">
        <v>1</v>
      </c>
      <c r="H15" s="472"/>
      <c r="I15" s="828">
        <v>1</v>
      </c>
      <c r="J15" s="830">
        <v>0</v>
      </c>
      <c r="K15" s="473"/>
    </row>
    <row r="16" spans="1:11">
      <c r="A16" s="451">
        <f>Pres.Ventas!A102</f>
        <v>0</v>
      </c>
      <c r="B16" s="452">
        <f>Pres.Ventas!B17</f>
        <v>0</v>
      </c>
      <c r="C16" s="828">
        <v>0</v>
      </c>
      <c r="D16" s="828">
        <v>0</v>
      </c>
      <c r="E16" s="828">
        <v>0</v>
      </c>
      <c r="F16" s="828">
        <v>0</v>
      </c>
      <c r="G16" s="828">
        <v>1</v>
      </c>
      <c r="H16" s="472"/>
      <c r="I16" s="828">
        <v>1</v>
      </c>
      <c r="J16" s="830">
        <v>0</v>
      </c>
      <c r="K16" s="473"/>
    </row>
    <row r="17" spans="1:11">
      <c r="A17" s="451">
        <f>Pres.Ventas!A103</f>
        <v>0</v>
      </c>
      <c r="B17" s="452">
        <f>Pres.Ventas!B18</f>
        <v>0</v>
      </c>
      <c r="C17" s="828">
        <v>0</v>
      </c>
      <c r="D17" s="828">
        <v>0</v>
      </c>
      <c r="E17" s="828">
        <v>0</v>
      </c>
      <c r="F17" s="828">
        <v>0</v>
      </c>
      <c r="G17" s="828">
        <v>1</v>
      </c>
      <c r="H17" s="472"/>
      <c r="I17" s="828">
        <v>1</v>
      </c>
      <c r="J17" s="830">
        <v>0</v>
      </c>
      <c r="K17" s="473"/>
    </row>
    <row r="18" spans="1:11">
      <c r="A18" s="451">
        <f>Pres.Ventas!A104</f>
        <v>0</v>
      </c>
      <c r="B18" s="452">
        <f>Pres.Ventas!B19</f>
        <v>0</v>
      </c>
      <c r="C18" s="828">
        <v>0</v>
      </c>
      <c r="D18" s="828">
        <v>0</v>
      </c>
      <c r="E18" s="828">
        <v>0</v>
      </c>
      <c r="F18" s="828">
        <v>0</v>
      </c>
      <c r="G18" s="828">
        <v>1</v>
      </c>
      <c r="H18" s="472"/>
      <c r="I18" s="828">
        <v>1</v>
      </c>
      <c r="J18" s="830">
        <v>0</v>
      </c>
      <c r="K18" s="473"/>
    </row>
    <row r="19" spans="1:11">
      <c r="A19" s="451">
        <f>Pres.Ventas!A105</f>
        <v>0</v>
      </c>
      <c r="B19" s="452">
        <f>Pres.Ventas!B20</f>
        <v>0</v>
      </c>
      <c r="C19" s="828">
        <v>0</v>
      </c>
      <c r="D19" s="828">
        <v>0</v>
      </c>
      <c r="E19" s="828">
        <v>0</v>
      </c>
      <c r="F19" s="828">
        <v>0</v>
      </c>
      <c r="G19" s="828">
        <v>1</v>
      </c>
      <c r="H19" s="472"/>
      <c r="I19" s="828">
        <v>1</v>
      </c>
      <c r="J19" s="830">
        <v>0</v>
      </c>
      <c r="K19" s="473"/>
    </row>
    <row r="20" spans="1:11">
      <c r="A20" s="451">
        <f>Pres.Ventas!A106</f>
        <v>0</v>
      </c>
      <c r="B20" s="452">
        <f>Pres.Ventas!B21</f>
        <v>0</v>
      </c>
      <c r="C20" s="828">
        <v>0</v>
      </c>
      <c r="D20" s="828">
        <v>0</v>
      </c>
      <c r="E20" s="828">
        <v>0</v>
      </c>
      <c r="F20" s="828">
        <v>0</v>
      </c>
      <c r="G20" s="828">
        <v>1</v>
      </c>
      <c r="H20" s="472"/>
      <c r="I20" s="828">
        <v>1</v>
      </c>
      <c r="J20" s="830">
        <v>0</v>
      </c>
      <c r="K20" s="473"/>
    </row>
    <row r="21" spans="1:11">
      <c r="A21" s="451">
        <f>Pres.Ventas!A107</f>
        <v>0</v>
      </c>
      <c r="B21" s="452">
        <f>Pres.Ventas!B22</f>
        <v>0</v>
      </c>
      <c r="C21" s="828">
        <v>0</v>
      </c>
      <c r="D21" s="828">
        <v>0</v>
      </c>
      <c r="E21" s="828">
        <v>0</v>
      </c>
      <c r="F21" s="828">
        <v>0</v>
      </c>
      <c r="G21" s="828">
        <v>1</v>
      </c>
      <c r="H21" s="472"/>
      <c r="I21" s="828">
        <v>1</v>
      </c>
      <c r="J21" s="830">
        <v>0</v>
      </c>
      <c r="K21" s="473"/>
    </row>
    <row r="24" spans="1:11" ht="14" thickBot="1"/>
    <row r="25" spans="1:11" ht="26" thickBot="1">
      <c r="A25" s="1154" t="s">
        <v>480</v>
      </c>
      <c r="B25" s="1155"/>
      <c r="C25" s="1155"/>
      <c r="D25" s="1155"/>
      <c r="E25" s="1155"/>
      <c r="F25" s="1155"/>
      <c r="G25" s="1155"/>
      <c r="H25" s="1155"/>
      <c r="I25" s="1155"/>
      <c r="J25" s="1155"/>
      <c r="K25" s="1156"/>
    </row>
    <row r="26" spans="1:11" ht="14.25" customHeight="1" thickBot="1">
      <c r="A26" s="300"/>
      <c r="B26" s="397"/>
      <c r="C26" s="397"/>
      <c r="D26" s="397"/>
      <c r="E26" s="397"/>
      <c r="F26" s="397"/>
      <c r="G26" s="397"/>
      <c r="H26" s="397"/>
      <c r="I26" s="397"/>
      <c r="J26" s="397"/>
      <c r="K26" s="413"/>
    </row>
    <row r="27" spans="1:11" ht="57" thickBot="1">
      <c r="A27" s="464" t="s">
        <v>36</v>
      </c>
      <c r="B27" s="465" t="s">
        <v>441</v>
      </c>
      <c r="C27" s="827" t="str">
        <f>C9</f>
        <v>MAT. PRIMA "A" KILOS</v>
      </c>
      <c r="D27" s="827" t="str">
        <f>D9</f>
        <v>MAT. PRIMA "B" KILOS</v>
      </c>
      <c r="E27" s="827" t="str">
        <f>E9</f>
        <v>MAT. PRIMA "C" KILOS</v>
      </c>
      <c r="F27" s="827" t="str">
        <f>F9</f>
        <v>MAT. PRIMA "D" PIEZAS</v>
      </c>
      <c r="G27" s="827" t="str">
        <f>G9</f>
        <v>MAT. PRIMA "E" PIEZAS</v>
      </c>
      <c r="H27" s="466"/>
      <c r="I27" s="827" t="str">
        <f>I9</f>
        <v xml:space="preserve">Comisión </v>
      </c>
      <c r="J27" s="827" t="str">
        <f>J9</f>
        <v>MANO DE OBRA DIRECTA POR UNIDAD</v>
      </c>
      <c r="K27" s="467"/>
    </row>
    <row r="28" spans="1:11">
      <c r="A28" s="451" t="str">
        <f>A10</f>
        <v>Welcome party</v>
      </c>
      <c r="B28" s="452" t="str">
        <f>B10</f>
        <v>servicio</v>
      </c>
      <c r="C28" s="828">
        <v>0</v>
      </c>
      <c r="D28" s="828">
        <v>0</v>
      </c>
      <c r="E28" s="828">
        <v>0</v>
      </c>
      <c r="F28" s="828">
        <v>0</v>
      </c>
      <c r="G28" s="828">
        <v>5000</v>
      </c>
      <c r="H28" s="470"/>
      <c r="I28" s="832">
        <f>Pres.Ventas!C11*0.07</f>
        <v>1750.0000000000002</v>
      </c>
      <c r="J28" s="830">
        <v>0</v>
      </c>
      <c r="K28" s="473"/>
    </row>
    <row r="29" spans="1:11">
      <c r="A29" s="451" t="str">
        <f t="shared" ref="A29:A35" si="0">A11</f>
        <v>Boda</v>
      </c>
      <c r="B29" s="452" t="str">
        <f t="shared" ref="B29:B39" si="1">B11</f>
        <v>servicio</v>
      </c>
      <c r="C29" s="828">
        <v>0</v>
      </c>
      <c r="D29" s="828">
        <v>0</v>
      </c>
      <c r="E29" s="828">
        <v>0</v>
      </c>
      <c r="F29" s="828">
        <v>0</v>
      </c>
      <c r="G29" s="828">
        <v>5000</v>
      </c>
      <c r="H29" s="470"/>
      <c r="I29" s="832">
        <f>Pres.Ventas!C12*0.07</f>
        <v>7000.0000000000009</v>
      </c>
      <c r="J29" s="830">
        <v>0</v>
      </c>
      <c r="K29" s="473"/>
    </row>
    <row r="30" spans="1:11">
      <c r="A30" s="451" t="str">
        <f t="shared" si="0"/>
        <v>Hora extra</v>
      </c>
      <c r="B30" s="452" t="str">
        <f t="shared" si="1"/>
        <v>servicio</v>
      </c>
      <c r="C30" s="828">
        <v>0</v>
      </c>
      <c r="D30" s="828">
        <v>0</v>
      </c>
      <c r="E30" s="828">
        <v>0</v>
      </c>
      <c r="F30" s="828">
        <v>0</v>
      </c>
      <c r="G30" s="828">
        <v>7000</v>
      </c>
      <c r="H30" s="470"/>
      <c r="I30" s="832">
        <f>Pres.Ventas!C13*0.07</f>
        <v>420.00000000000006</v>
      </c>
      <c r="J30" s="830">
        <v>0</v>
      </c>
      <c r="K30" s="473"/>
    </row>
    <row r="31" spans="1:11">
      <c r="A31" s="451" t="str">
        <f t="shared" si="0"/>
        <v>Club</v>
      </c>
      <c r="B31" s="452" t="str">
        <f t="shared" si="1"/>
        <v>servicio</v>
      </c>
      <c r="C31" s="828">
        <v>0</v>
      </c>
      <c r="D31" s="828">
        <v>0</v>
      </c>
      <c r="E31" s="828">
        <v>0</v>
      </c>
      <c r="F31" s="828">
        <v>0</v>
      </c>
      <c r="G31" s="828">
        <v>10000</v>
      </c>
      <c r="H31" s="470"/>
      <c r="I31" s="832">
        <f>Pres.Ventas!C14*0.07</f>
        <v>105.00000000000001</v>
      </c>
      <c r="J31" s="830">
        <v>0</v>
      </c>
      <c r="K31" s="473"/>
    </row>
    <row r="32" spans="1:11">
      <c r="A32" s="451">
        <f t="shared" si="0"/>
        <v>0</v>
      </c>
      <c r="B32" s="452">
        <f t="shared" si="1"/>
        <v>0</v>
      </c>
      <c r="C32" s="828">
        <v>0</v>
      </c>
      <c r="D32" s="828">
        <v>0</v>
      </c>
      <c r="E32" s="828">
        <v>0</v>
      </c>
      <c r="F32" s="828">
        <v>0</v>
      </c>
      <c r="G32" s="828">
        <v>10000</v>
      </c>
      <c r="H32" s="470"/>
      <c r="I32" s="832">
        <f>Pres.Ventas!C15*0.07</f>
        <v>0</v>
      </c>
      <c r="J32" s="830">
        <v>0</v>
      </c>
      <c r="K32" s="473"/>
    </row>
    <row r="33" spans="1:12">
      <c r="A33" s="451">
        <f t="shared" si="0"/>
        <v>0</v>
      </c>
      <c r="B33" s="452">
        <f t="shared" si="1"/>
        <v>0</v>
      </c>
      <c r="C33" s="828">
        <v>0</v>
      </c>
      <c r="D33" s="828">
        <v>0</v>
      </c>
      <c r="E33" s="828">
        <v>0</v>
      </c>
      <c r="F33" s="828">
        <v>0</v>
      </c>
      <c r="G33" s="828">
        <v>10000</v>
      </c>
      <c r="H33" s="470"/>
      <c r="I33" s="832">
        <f>Pres.Ventas!C16*0.07</f>
        <v>0</v>
      </c>
      <c r="J33" s="830">
        <v>0</v>
      </c>
      <c r="K33" s="473"/>
    </row>
    <row r="34" spans="1:12">
      <c r="A34" s="451">
        <f t="shared" si="0"/>
        <v>0</v>
      </c>
      <c r="B34" s="452">
        <f t="shared" si="1"/>
        <v>0</v>
      </c>
      <c r="C34" s="828">
        <v>0</v>
      </c>
      <c r="D34" s="828">
        <v>0</v>
      </c>
      <c r="E34" s="828">
        <v>0</v>
      </c>
      <c r="F34" s="828">
        <v>0</v>
      </c>
      <c r="G34" s="828">
        <v>10000</v>
      </c>
      <c r="H34" s="470"/>
      <c r="I34" s="832">
        <f>Pres.Ventas!C17*0.07</f>
        <v>0</v>
      </c>
      <c r="J34" s="830">
        <v>0</v>
      </c>
      <c r="K34" s="473"/>
    </row>
    <row r="35" spans="1:12">
      <c r="A35" s="451">
        <f t="shared" si="0"/>
        <v>0</v>
      </c>
      <c r="B35" s="452">
        <f t="shared" si="1"/>
        <v>0</v>
      </c>
      <c r="C35" s="828">
        <v>0</v>
      </c>
      <c r="D35" s="828">
        <v>0</v>
      </c>
      <c r="E35" s="828">
        <v>0</v>
      </c>
      <c r="F35" s="828">
        <v>0</v>
      </c>
      <c r="G35" s="828">
        <v>1000</v>
      </c>
      <c r="H35" s="470"/>
      <c r="I35" s="832">
        <f>Pres.Ventas!C18*0.07</f>
        <v>0</v>
      </c>
      <c r="J35" s="830">
        <v>0</v>
      </c>
      <c r="K35" s="473"/>
    </row>
    <row r="36" spans="1:12">
      <c r="A36" s="451">
        <f>Pres.Ventas!A19</f>
        <v>0</v>
      </c>
      <c r="B36" s="452">
        <f t="shared" si="1"/>
        <v>0</v>
      </c>
      <c r="C36" s="828">
        <v>0</v>
      </c>
      <c r="D36" s="828">
        <v>0</v>
      </c>
      <c r="E36" s="828">
        <v>0</v>
      </c>
      <c r="F36" s="828">
        <v>0</v>
      </c>
      <c r="G36" s="828">
        <f>Pres.Ventas!C19*0.92</f>
        <v>0</v>
      </c>
      <c r="H36" s="470"/>
      <c r="I36" s="832">
        <f>Pres.Ventas!C19*0.07</f>
        <v>0</v>
      </c>
      <c r="J36" s="830">
        <v>0</v>
      </c>
      <c r="K36" s="473"/>
    </row>
    <row r="37" spans="1:12">
      <c r="A37" s="451">
        <f>Pres.Ventas!A20</f>
        <v>0</v>
      </c>
      <c r="B37" s="452">
        <f t="shared" si="1"/>
        <v>0</v>
      </c>
      <c r="C37" s="828">
        <v>0</v>
      </c>
      <c r="D37" s="828">
        <v>0</v>
      </c>
      <c r="E37" s="828">
        <v>0</v>
      </c>
      <c r="F37" s="828">
        <v>0</v>
      </c>
      <c r="G37" s="828">
        <f>Pres.Ventas!C20*0.92</f>
        <v>0</v>
      </c>
      <c r="H37" s="470"/>
      <c r="I37" s="832">
        <f>Pres.Ventas!C20*0.07</f>
        <v>0</v>
      </c>
      <c r="J37" s="830">
        <v>0</v>
      </c>
      <c r="K37" s="473"/>
    </row>
    <row r="38" spans="1:12">
      <c r="A38" s="451">
        <f>Pres.Ventas!A21</f>
        <v>0</v>
      </c>
      <c r="B38" s="452">
        <f t="shared" si="1"/>
        <v>0</v>
      </c>
      <c r="C38" s="828">
        <v>0</v>
      </c>
      <c r="D38" s="828">
        <v>0</v>
      </c>
      <c r="E38" s="828">
        <v>0</v>
      </c>
      <c r="F38" s="828">
        <v>0</v>
      </c>
      <c r="G38" s="828">
        <f>Pres.Ventas!C21*0.92</f>
        <v>0</v>
      </c>
      <c r="H38" s="470"/>
      <c r="I38" s="832">
        <f>Pres.Ventas!C21*0.07</f>
        <v>0</v>
      </c>
      <c r="J38" s="830">
        <v>0</v>
      </c>
      <c r="K38" s="473"/>
    </row>
    <row r="39" spans="1:12" ht="14" thickBot="1">
      <c r="A39" s="451">
        <f>Pres.Ventas!A22</f>
        <v>0</v>
      </c>
      <c r="B39" s="452">
        <f t="shared" si="1"/>
        <v>0</v>
      </c>
      <c r="C39" s="828">
        <v>0</v>
      </c>
      <c r="D39" s="828">
        <v>0</v>
      </c>
      <c r="E39" s="828">
        <v>0</v>
      </c>
      <c r="F39" s="828">
        <v>0</v>
      </c>
      <c r="G39" s="831"/>
      <c r="H39" s="474"/>
      <c r="I39" s="832">
        <v>0</v>
      </c>
      <c r="J39" s="830">
        <v>0</v>
      </c>
      <c r="K39" s="475"/>
    </row>
    <row r="40" spans="1:12">
      <c r="A40" s="454"/>
      <c r="B40" s="454"/>
      <c r="C40" s="454"/>
      <c r="D40" s="454"/>
      <c r="E40" s="454"/>
      <c r="F40" s="454"/>
      <c r="G40" s="454"/>
      <c r="H40" s="454"/>
      <c r="I40" s="454"/>
      <c r="J40" s="454"/>
      <c r="K40" s="454"/>
    </row>
    <row r="41" spans="1:12">
      <c r="A41" s="454"/>
      <c r="B41" s="454"/>
      <c r="C41" s="454"/>
      <c r="D41" s="454"/>
      <c r="E41" s="454"/>
      <c r="F41" s="454"/>
      <c r="G41" s="454"/>
      <c r="H41" s="454"/>
      <c r="I41" s="454"/>
      <c r="J41" s="454"/>
      <c r="K41" s="454"/>
    </row>
    <row r="42" spans="1:12">
      <c r="A42" s="454"/>
      <c r="B42" s="454"/>
      <c r="C42" s="454"/>
      <c r="D42" s="454"/>
      <c r="E42" s="454"/>
      <c r="F42" s="454"/>
      <c r="G42" s="454"/>
      <c r="H42" s="454"/>
      <c r="I42" s="454"/>
      <c r="J42" s="454"/>
      <c r="K42" s="454"/>
    </row>
    <row r="45" spans="1:12" ht="14" thickBot="1"/>
    <row r="46" spans="1:12" ht="26" thickBot="1">
      <c r="A46" s="1192" t="s">
        <v>473</v>
      </c>
      <c r="B46" s="1193"/>
      <c r="C46" s="1193"/>
      <c r="D46" s="1193"/>
      <c r="E46" s="1193"/>
      <c r="F46" s="1193"/>
      <c r="G46" s="1193"/>
      <c r="H46" s="1193"/>
      <c r="I46" s="1193"/>
      <c r="J46" s="1193"/>
      <c r="K46" s="1194"/>
    </row>
    <row r="47" spans="1:12" ht="14" thickBot="1">
      <c r="A47" s="300"/>
      <c r="B47" s="397"/>
      <c r="C47" s="397"/>
      <c r="D47" s="397"/>
      <c r="E47" s="397"/>
      <c r="F47" s="397"/>
      <c r="G47" s="397"/>
      <c r="H47" s="397"/>
      <c r="I47" s="397"/>
      <c r="J47" s="397"/>
      <c r="K47" s="413"/>
    </row>
    <row r="48" spans="1:12" ht="69" thickBot="1">
      <c r="A48" s="464" t="s">
        <v>36</v>
      </c>
      <c r="B48" s="465" t="str">
        <f>B27</f>
        <v>PRECIO POR UNIDAD DE MEDIDA DE MATERIA PRIMA</v>
      </c>
      <c r="C48" s="450" t="str">
        <f>C27</f>
        <v>MAT. PRIMA "A" KILOS</v>
      </c>
      <c r="D48" s="450" t="str">
        <f t="shared" ref="D48:J48" si="2">D27</f>
        <v>MAT. PRIMA "B" KILOS</v>
      </c>
      <c r="E48" s="450" t="str">
        <f t="shared" si="2"/>
        <v>MAT. PRIMA "C" KILOS</v>
      </c>
      <c r="F48" s="450" t="str">
        <f t="shared" si="2"/>
        <v>MAT. PRIMA "D" PIEZAS</v>
      </c>
      <c r="G48" s="450" t="str">
        <f t="shared" si="2"/>
        <v>MAT. PRIMA "E" PIEZAS</v>
      </c>
      <c r="H48" s="466" t="s">
        <v>451</v>
      </c>
      <c r="I48" s="450" t="str">
        <f t="shared" si="2"/>
        <v xml:space="preserve">Comisión </v>
      </c>
      <c r="J48" s="450" t="str">
        <f t="shared" si="2"/>
        <v>MANO DE OBRA DIRECTA POR UNIDAD</v>
      </c>
      <c r="K48" s="468" t="s">
        <v>452</v>
      </c>
      <c r="L48" s="455" t="s">
        <v>455</v>
      </c>
    </row>
    <row r="49" spans="1:12" ht="14" thickBot="1">
      <c r="A49" s="451" t="str">
        <f>A28</f>
        <v>Welcome party</v>
      </c>
      <c r="B49" s="469" t="str">
        <f>B28</f>
        <v>servicio</v>
      </c>
      <c r="C49" s="453">
        <f>C10*C28</f>
        <v>0</v>
      </c>
      <c r="D49" s="453">
        <f>D10*D28</f>
        <v>0</v>
      </c>
      <c r="E49" s="453">
        <f>E10*E28</f>
        <v>0</v>
      </c>
      <c r="F49" s="453">
        <f>F10*F28</f>
        <v>0</v>
      </c>
      <c r="G49" s="453">
        <f>G10*G28</f>
        <v>5000</v>
      </c>
      <c r="H49" s="470">
        <f t="shared" ref="H49:H60" si="3">SUM(C49:G49)</f>
        <v>5000</v>
      </c>
      <c r="I49" s="456">
        <f t="shared" ref="I49:J54" si="4">I10*I28</f>
        <v>1750.0000000000002</v>
      </c>
      <c r="J49" s="456">
        <f t="shared" si="4"/>
        <v>0</v>
      </c>
      <c r="K49" s="471">
        <f t="shared" ref="K49:K60" si="5">SUM(H49:J49)</f>
        <v>6750</v>
      </c>
      <c r="L49" s="457">
        <f>Pres.Ventas!C11</f>
        <v>25000</v>
      </c>
    </row>
    <row r="50" spans="1:12" ht="14" thickBot="1">
      <c r="A50" s="451" t="str">
        <f t="shared" ref="A50:A56" si="6">A29</f>
        <v>Boda</v>
      </c>
      <c r="B50" s="469" t="str">
        <f t="shared" ref="B50:B60" si="7">B29</f>
        <v>servicio</v>
      </c>
      <c r="C50" s="453">
        <f t="shared" ref="C50:G60" si="8">C11*C29</f>
        <v>0</v>
      </c>
      <c r="D50" s="453">
        <f t="shared" si="8"/>
        <v>0</v>
      </c>
      <c r="E50" s="453">
        <f>E11*E29</f>
        <v>0</v>
      </c>
      <c r="F50" s="453">
        <f>F11*F29</f>
        <v>0</v>
      </c>
      <c r="G50" s="453">
        <f>G11*G29</f>
        <v>5000</v>
      </c>
      <c r="H50" s="470">
        <f>SUM(C50:G50)</f>
        <v>5000</v>
      </c>
      <c r="I50" s="456">
        <f t="shared" ref="I50:I60" si="9">I11*I29</f>
        <v>7000.0000000000009</v>
      </c>
      <c r="J50" s="456">
        <f t="shared" si="4"/>
        <v>0</v>
      </c>
      <c r="K50" s="471">
        <f t="shared" si="5"/>
        <v>12000</v>
      </c>
      <c r="L50" s="458">
        <f>Pres.Ventas!C12</f>
        <v>100000</v>
      </c>
    </row>
    <row r="51" spans="1:12" ht="14" thickBot="1">
      <c r="A51" s="451" t="str">
        <f t="shared" si="6"/>
        <v>Hora extra</v>
      </c>
      <c r="B51" s="469" t="str">
        <f t="shared" si="7"/>
        <v>servicio</v>
      </c>
      <c r="C51" s="453">
        <f t="shared" si="8"/>
        <v>0</v>
      </c>
      <c r="D51" s="453">
        <f t="shared" si="8"/>
        <v>0</v>
      </c>
      <c r="E51" s="453">
        <f t="shared" si="8"/>
        <v>0</v>
      </c>
      <c r="F51" s="453">
        <f t="shared" si="8"/>
        <v>0</v>
      </c>
      <c r="G51" s="453">
        <f>G12*G30</f>
        <v>7000</v>
      </c>
      <c r="H51" s="470">
        <f t="shared" si="3"/>
        <v>7000</v>
      </c>
      <c r="I51" s="456">
        <f t="shared" si="9"/>
        <v>420.00000000000006</v>
      </c>
      <c r="J51" s="456">
        <f t="shared" si="4"/>
        <v>0</v>
      </c>
      <c r="K51" s="471">
        <f t="shared" si="5"/>
        <v>7420</v>
      </c>
      <c r="L51" s="458">
        <f>Pres.Ventas!C13</f>
        <v>6000</v>
      </c>
    </row>
    <row r="52" spans="1:12" ht="14" thickBot="1">
      <c r="A52" s="451" t="str">
        <f t="shared" si="6"/>
        <v>Club</v>
      </c>
      <c r="B52" s="469" t="str">
        <f t="shared" si="7"/>
        <v>servicio</v>
      </c>
      <c r="C52" s="453">
        <f t="shared" si="8"/>
        <v>0</v>
      </c>
      <c r="D52" s="453">
        <f t="shared" si="8"/>
        <v>0</v>
      </c>
      <c r="E52" s="453">
        <f t="shared" si="8"/>
        <v>0</v>
      </c>
      <c r="F52" s="453">
        <f t="shared" si="8"/>
        <v>0</v>
      </c>
      <c r="G52" s="453">
        <f>G13*G31</f>
        <v>10000</v>
      </c>
      <c r="H52" s="470">
        <f t="shared" si="3"/>
        <v>10000</v>
      </c>
      <c r="I52" s="456">
        <f t="shared" si="9"/>
        <v>105.00000000000001</v>
      </c>
      <c r="J52" s="456">
        <f t="shared" si="4"/>
        <v>0</v>
      </c>
      <c r="K52" s="471">
        <f t="shared" si="5"/>
        <v>10105</v>
      </c>
      <c r="L52" s="458">
        <f>Pres.Ventas!C14</f>
        <v>1500</v>
      </c>
    </row>
    <row r="53" spans="1:12" ht="14" thickBot="1">
      <c r="A53" s="451">
        <f t="shared" si="6"/>
        <v>0</v>
      </c>
      <c r="B53" s="469">
        <f t="shared" si="7"/>
        <v>0</v>
      </c>
      <c r="C53" s="453">
        <f t="shared" si="8"/>
        <v>0</v>
      </c>
      <c r="D53" s="453">
        <f t="shared" si="8"/>
        <v>0</v>
      </c>
      <c r="E53" s="453">
        <f t="shared" si="8"/>
        <v>0</v>
      </c>
      <c r="F53" s="453">
        <f t="shared" si="8"/>
        <v>0</v>
      </c>
      <c r="G53" s="453">
        <f>G14*G32</f>
        <v>10000</v>
      </c>
      <c r="H53" s="470">
        <f t="shared" si="3"/>
        <v>10000</v>
      </c>
      <c r="I53" s="456">
        <f t="shared" si="9"/>
        <v>0</v>
      </c>
      <c r="J53" s="456">
        <f t="shared" si="4"/>
        <v>0</v>
      </c>
      <c r="K53" s="471">
        <f t="shared" si="5"/>
        <v>10000</v>
      </c>
      <c r="L53" s="458">
        <f>Pres.Ventas!C15</f>
        <v>0</v>
      </c>
    </row>
    <row r="54" spans="1:12" ht="14" thickBot="1">
      <c r="A54" s="451">
        <f t="shared" si="6"/>
        <v>0</v>
      </c>
      <c r="B54" s="469">
        <f t="shared" si="7"/>
        <v>0</v>
      </c>
      <c r="C54" s="453">
        <f t="shared" si="8"/>
        <v>0</v>
      </c>
      <c r="D54" s="453">
        <f t="shared" si="8"/>
        <v>0</v>
      </c>
      <c r="E54" s="453">
        <f t="shared" si="8"/>
        <v>0</v>
      </c>
      <c r="F54" s="453">
        <f t="shared" si="8"/>
        <v>0</v>
      </c>
      <c r="G54" s="453">
        <f>G15*G33</f>
        <v>10000</v>
      </c>
      <c r="H54" s="470">
        <f t="shared" si="3"/>
        <v>10000</v>
      </c>
      <c r="I54" s="456">
        <f t="shared" si="9"/>
        <v>0</v>
      </c>
      <c r="J54" s="456">
        <f t="shared" si="4"/>
        <v>0</v>
      </c>
      <c r="K54" s="471">
        <f t="shared" si="5"/>
        <v>10000</v>
      </c>
      <c r="L54" s="458">
        <f>Pres.Ventas!C16</f>
        <v>0</v>
      </c>
    </row>
    <row r="55" spans="1:12" ht="14" thickBot="1">
      <c r="A55" s="451">
        <f t="shared" si="6"/>
        <v>0</v>
      </c>
      <c r="B55" s="469">
        <f t="shared" si="7"/>
        <v>0</v>
      </c>
      <c r="C55" s="453">
        <f t="shared" si="8"/>
        <v>0</v>
      </c>
      <c r="D55" s="453">
        <f t="shared" si="8"/>
        <v>0</v>
      </c>
      <c r="E55" s="453">
        <f t="shared" si="8"/>
        <v>0</v>
      </c>
      <c r="F55" s="453">
        <f t="shared" si="8"/>
        <v>0</v>
      </c>
      <c r="G55" s="453">
        <f t="shared" si="8"/>
        <v>10000</v>
      </c>
      <c r="H55" s="470">
        <f t="shared" si="3"/>
        <v>10000</v>
      </c>
      <c r="I55" s="456">
        <f t="shared" si="9"/>
        <v>0</v>
      </c>
      <c r="J55" s="456"/>
      <c r="K55" s="471">
        <f t="shared" si="5"/>
        <v>10000</v>
      </c>
      <c r="L55" s="458">
        <f>Pres.Ventas!C17</f>
        <v>0</v>
      </c>
    </row>
    <row r="56" spans="1:12" ht="14" thickBot="1">
      <c r="A56" s="451">
        <f t="shared" si="6"/>
        <v>0</v>
      </c>
      <c r="B56" s="469">
        <f t="shared" si="7"/>
        <v>0</v>
      </c>
      <c r="C56" s="453">
        <f t="shared" si="8"/>
        <v>0</v>
      </c>
      <c r="D56" s="453">
        <f t="shared" si="8"/>
        <v>0</v>
      </c>
      <c r="E56" s="453">
        <f t="shared" si="8"/>
        <v>0</v>
      </c>
      <c r="F56" s="453">
        <f t="shared" si="8"/>
        <v>0</v>
      </c>
      <c r="G56" s="453">
        <f t="shared" si="8"/>
        <v>1000</v>
      </c>
      <c r="H56" s="470">
        <f t="shared" si="3"/>
        <v>1000</v>
      </c>
      <c r="I56" s="456">
        <f t="shared" si="9"/>
        <v>0</v>
      </c>
      <c r="J56" s="456"/>
      <c r="K56" s="471">
        <f t="shared" si="5"/>
        <v>1000</v>
      </c>
      <c r="L56" s="458">
        <f>Pres.Ventas!C18</f>
        <v>0</v>
      </c>
    </row>
    <row r="57" spans="1:12" ht="14" thickBot="1">
      <c r="A57" s="451">
        <f>Pres.Ventas!A19</f>
        <v>0</v>
      </c>
      <c r="B57" s="469">
        <f t="shared" si="7"/>
        <v>0</v>
      </c>
      <c r="C57" s="453">
        <f t="shared" si="8"/>
        <v>0</v>
      </c>
      <c r="D57" s="453">
        <f t="shared" si="8"/>
        <v>0</v>
      </c>
      <c r="E57" s="453">
        <f t="shared" si="8"/>
        <v>0</v>
      </c>
      <c r="F57" s="453">
        <f t="shared" si="8"/>
        <v>0</v>
      </c>
      <c r="G57" s="453">
        <f t="shared" si="8"/>
        <v>0</v>
      </c>
      <c r="H57" s="470">
        <f t="shared" si="3"/>
        <v>0</v>
      </c>
      <c r="I57" s="456">
        <f t="shared" si="9"/>
        <v>0</v>
      </c>
      <c r="J57" s="456"/>
      <c r="K57" s="471">
        <f t="shared" si="5"/>
        <v>0</v>
      </c>
      <c r="L57" s="458">
        <f>Pres.Ventas!C19</f>
        <v>0</v>
      </c>
    </row>
    <row r="58" spans="1:12" ht="14" thickBot="1">
      <c r="A58" s="451">
        <f>Pres.Ventas!A20</f>
        <v>0</v>
      </c>
      <c r="B58" s="469">
        <f t="shared" si="7"/>
        <v>0</v>
      </c>
      <c r="C58" s="453">
        <f t="shared" si="8"/>
        <v>0</v>
      </c>
      <c r="D58" s="453">
        <f t="shared" si="8"/>
        <v>0</v>
      </c>
      <c r="E58" s="453">
        <f t="shared" si="8"/>
        <v>0</v>
      </c>
      <c r="F58" s="453">
        <f t="shared" si="8"/>
        <v>0</v>
      </c>
      <c r="G58" s="453">
        <f t="shared" si="8"/>
        <v>0</v>
      </c>
      <c r="H58" s="470">
        <f t="shared" si="3"/>
        <v>0</v>
      </c>
      <c r="I58" s="456">
        <f t="shared" si="9"/>
        <v>0</v>
      </c>
      <c r="J58" s="456">
        <f>J16*J37</f>
        <v>0</v>
      </c>
      <c r="K58" s="471">
        <f t="shared" si="5"/>
        <v>0</v>
      </c>
      <c r="L58" s="458">
        <f>Pres.Ventas!C20</f>
        <v>0</v>
      </c>
    </row>
    <row r="59" spans="1:12" ht="14" thickBot="1">
      <c r="A59" s="451">
        <f>Pres.Ventas!A21</f>
        <v>0</v>
      </c>
      <c r="B59" s="469">
        <f t="shared" si="7"/>
        <v>0</v>
      </c>
      <c r="C59" s="453">
        <f t="shared" si="8"/>
        <v>0</v>
      </c>
      <c r="D59" s="453">
        <f t="shared" si="8"/>
        <v>0</v>
      </c>
      <c r="E59" s="453">
        <f t="shared" si="8"/>
        <v>0</v>
      </c>
      <c r="F59" s="453">
        <f t="shared" si="8"/>
        <v>0</v>
      </c>
      <c r="G59" s="453">
        <f t="shared" si="8"/>
        <v>0</v>
      </c>
      <c r="H59" s="470">
        <f t="shared" si="3"/>
        <v>0</v>
      </c>
      <c r="I59" s="456">
        <f t="shared" si="9"/>
        <v>0</v>
      </c>
      <c r="J59" s="456">
        <f>J20*J38</f>
        <v>0</v>
      </c>
      <c r="K59" s="471">
        <f t="shared" si="5"/>
        <v>0</v>
      </c>
      <c r="L59" s="458">
        <f>Pres.Ventas!C21</f>
        <v>0</v>
      </c>
    </row>
    <row r="60" spans="1:12" ht="14" thickBot="1">
      <c r="A60" s="451">
        <f>Pres.Ventas!A22</f>
        <v>0</v>
      </c>
      <c r="B60" s="469">
        <f t="shared" si="7"/>
        <v>0</v>
      </c>
      <c r="C60" s="453">
        <f t="shared" si="8"/>
        <v>0</v>
      </c>
      <c r="D60" s="453">
        <f t="shared" si="8"/>
        <v>0</v>
      </c>
      <c r="E60" s="453">
        <f t="shared" si="8"/>
        <v>0</v>
      </c>
      <c r="F60" s="453">
        <f t="shared" si="8"/>
        <v>0</v>
      </c>
      <c r="G60" s="453">
        <f t="shared" si="8"/>
        <v>0</v>
      </c>
      <c r="H60" s="470">
        <f t="shared" si="3"/>
        <v>0</v>
      </c>
      <c r="I60" s="456">
        <f t="shared" si="9"/>
        <v>0</v>
      </c>
      <c r="J60" s="456">
        <f>J21*J39</f>
        <v>0</v>
      </c>
      <c r="K60" s="471">
        <f t="shared" si="5"/>
        <v>0</v>
      </c>
      <c r="L60" s="458">
        <f>Pres.Ventas!C22</f>
        <v>0</v>
      </c>
    </row>
    <row r="61" spans="1:12">
      <c r="A61" s="305"/>
      <c r="B61" s="305"/>
      <c r="C61" s="459"/>
      <c r="D61" s="459"/>
      <c r="E61" s="459"/>
      <c r="F61" s="459"/>
      <c r="G61" s="459"/>
      <c r="H61" s="459"/>
      <c r="I61" s="459"/>
      <c r="J61" s="459"/>
      <c r="K61" s="459"/>
    </row>
    <row r="65" spans="1:11" ht="16">
      <c r="A65" s="460"/>
      <c r="B65" s="460"/>
      <c r="C65" s="262"/>
      <c r="D65" s="461"/>
      <c r="E65" s="462"/>
      <c r="F65" s="462"/>
      <c r="G65" s="313"/>
      <c r="H65" s="460"/>
      <c r="I65" s="262"/>
      <c r="J65" s="461"/>
      <c r="K65" s="463"/>
    </row>
    <row r="66" spans="1:11" ht="16">
      <c r="A66" s="262" t="s">
        <v>419</v>
      </c>
      <c r="B66" s="262"/>
      <c r="C66" s="262"/>
      <c r="D66" s="461"/>
      <c r="E66" s="301"/>
      <c r="F66" s="262"/>
      <c r="G66" s="313"/>
      <c r="H66" s="460"/>
      <c r="I66" s="262"/>
      <c r="J66" s="461"/>
      <c r="K66" s="463"/>
    </row>
  </sheetData>
  <mergeCells count="6">
    <mergeCell ref="A46:K46"/>
    <mergeCell ref="A1:K1"/>
    <mergeCell ref="A2:K3"/>
    <mergeCell ref="A5:K5"/>
    <mergeCell ref="A7:K7"/>
    <mergeCell ref="A25:K25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K113"/>
  <sheetViews>
    <sheetView zoomScale="80" zoomScaleNormal="80" zoomScaleSheetLayoutView="100" workbookViewId="0">
      <selection activeCell="K13" sqref="K13"/>
    </sheetView>
  </sheetViews>
  <sheetFormatPr baseColWidth="10" defaultColWidth="11.5" defaultRowHeight="13"/>
  <cols>
    <col min="1" max="1" width="25.1640625" style="459" customWidth="1"/>
    <col min="2" max="2" width="17.33203125" style="459" customWidth="1"/>
    <col min="3" max="3" width="16.6640625" style="921" customWidth="1"/>
    <col min="4" max="4" width="18" style="920" customWidth="1"/>
    <col min="5" max="5" width="17.6640625" style="459" customWidth="1"/>
    <col min="6" max="6" width="20" style="920" customWidth="1"/>
    <col min="7" max="7" width="18.83203125" style="459" customWidth="1"/>
    <col min="8" max="8" width="15.83203125" style="459" customWidth="1"/>
    <col min="9" max="9" width="13.83203125" style="459" customWidth="1"/>
    <col min="10" max="10" width="1" style="459" customWidth="1"/>
    <col min="11" max="11" width="17.1640625" style="459" customWidth="1"/>
    <col min="12" max="13" width="11.5" style="459" customWidth="1"/>
    <col min="14" max="14" width="12.1640625" style="459" bestFit="1" customWidth="1"/>
    <col min="15" max="16384" width="11.5" style="459"/>
  </cols>
  <sheetData>
    <row r="1" spans="1:11" ht="22.5" customHeight="1">
      <c r="A1" s="1198" t="s">
        <v>422</v>
      </c>
      <c r="B1" s="1198"/>
      <c r="C1" s="1198"/>
      <c r="D1" s="1198"/>
      <c r="E1" s="1198"/>
      <c r="F1" s="1198"/>
      <c r="G1" s="1198"/>
      <c r="H1" s="1198"/>
      <c r="I1" s="1198"/>
      <c r="J1" s="1198"/>
    </row>
    <row r="2" spans="1:11" ht="18" customHeight="1">
      <c r="A2" s="1196">
        <f>INVERSION!A6</f>
        <v>0</v>
      </c>
      <c r="B2" s="1196"/>
      <c r="C2" s="1196"/>
      <c r="D2" s="1196"/>
      <c r="E2" s="1196"/>
      <c r="F2" s="1196"/>
      <c r="G2" s="1196"/>
      <c r="H2" s="1196"/>
      <c r="I2" s="1196"/>
      <c r="J2" s="1196"/>
      <c r="K2" s="305"/>
    </row>
    <row r="3" spans="1:11" ht="26.25" customHeight="1">
      <c r="A3" s="1196"/>
      <c r="B3" s="1196"/>
      <c r="C3" s="1196"/>
      <c r="D3" s="1196"/>
      <c r="E3" s="1196"/>
      <c r="F3" s="1196"/>
      <c r="G3" s="1196"/>
      <c r="H3" s="1196"/>
      <c r="I3" s="1196"/>
      <c r="J3" s="1196"/>
      <c r="K3" s="833"/>
    </row>
    <row r="4" spans="1:11" ht="19" thickBot="1">
      <c r="A4" s="1205"/>
      <c r="B4" s="1205"/>
      <c r="C4" s="1205"/>
      <c r="D4" s="1205"/>
      <c r="E4" s="1205"/>
      <c r="F4" s="1205"/>
      <c r="G4" s="305"/>
      <c r="H4" s="305"/>
      <c r="I4" s="305"/>
    </row>
    <row r="5" spans="1:11" ht="43" thickBot="1">
      <c r="A5" s="834" t="str">
        <f>'DATOS COST UNIT.'!A49</f>
        <v>Welcome party</v>
      </c>
      <c r="B5" s="834" t="s">
        <v>376</v>
      </c>
      <c r="C5" s="835" t="s">
        <v>81</v>
      </c>
      <c r="D5" s="834" t="s">
        <v>71</v>
      </c>
      <c r="E5" s="834" t="s">
        <v>37</v>
      </c>
      <c r="F5" s="836" t="s">
        <v>113</v>
      </c>
      <c r="G5" s="836" t="s">
        <v>379</v>
      </c>
      <c r="H5" s="836" t="s">
        <v>115</v>
      </c>
      <c r="I5" s="494"/>
    </row>
    <row r="6" spans="1:11">
      <c r="A6" s="837" t="s">
        <v>380</v>
      </c>
      <c r="B6" s="838">
        <f>Pres.Ventas!P31</f>
        <v>0.5</v>
      </c>
      <c r="C6" s="839"/>
      <c r="D6" s="840"/>
      <c r="E6" s="841"/>
      <c r="F6" s="842"/>
      <c r="G6" s="843"/>
      <c r="H6" s="844">
        <f>B6*12</f>
        <v>6</v>
      </c>
      <c r="I6" s="305"/>
      <c r="K6" s="845"/>
    </row>
    <row r="7" spans="1:11">
      <c r="A7" s="253" t="s">
        <v>70</v>
      </c>
      <c r="B7" s="846"/>
      <c r="C7" s="847">
        <f>'DATOS COST UNIT.'!M42+'DATOS COST UNIT.'!K49</f>
        <v>6750</v>
      </c>
      <c r="D7" s="848"/>
      <c r="E7" s="849">
        <f>C7*$B$6</f>
        <v>3375</v>
      </c>
      <c r="F7" s="850"/>
      <c r="G7" s="851">
        <f>E7*12</f>
        <v>40500</v>
      </c>
      <c r="H7" s="852"/>
      <c r="I7" s="495"/>
      <c r="K7" s="845"/>
    </row>
    <row r="8" spans="1:11" s="855" customFormat="1">
      <c r="A8" s="253" t="s">
        <v>116</v>
      </c>
      <c r="B8" s="846"/>
      <c r="C8" s="853">
        <f>'DATOS COST UNIT.'!I49</f>
        <v>1750.0000000000002</v>
      </c>
      <c r="D8" s="848"/>
      <c r="E8" s="849">
        <f>C8*$B$6</f>
        <v>875.00000000000011</v>
      </c>
      <c r="F8" s="854"/>
      <c r="G8" s="851">
        <f>E8*12</f>
        <v>10500.000000000002</v>
      </c>
      <c r="H8" s="852"/>
      <c r="I8" s="305"/>
      <c r="K8" s="845"/>
    </row>
    <row r="9" spans="1:11" s="855" customFormat="1">
      <c r="A9" s="856" t="s">
        <v>382</v>
      </c>
      <c r="B9" s="846"/>
      <c r="C9" s="857">
        <f>'DATOS COST UNIT.'!J49</f>
        <v>0</v>
      </c>
      <c r="D9" s="848"/>
      <c r="E9" s="849">
        <f>C9*$B$6</f>
        <v>0</v>
      </c>
      <c r="F9" s="854"/>
      <c r="G9" s="851">
        <f>E9*12</f>
        <v>0</v>
      </c>
      <c r="H9" s="852"/>
      <c r="I9" s="305"/>
      <c r="K9" s="845"/>
    </row>
    <row r="10" spans="1:11" ht="14" thickBot="1">
      <c r="A10" s="485" t="s">
        <v>35</v>
      </c>
      <c r="B10" s="858"/>
      <c r="C10" s="859"/>
      <c r="D10" s="860">
        <f>SUM(C7:C9)</f>
        <v>8500</v>
      </c>
      <c r="E10" s="861">
        <f>SUM(E7:E9)</f>
        <v>4250</v>
      </c>
      <c r="F10" s="862">
        <f>SUM(E7:E9)</f>
        <v>4250</v>
      </c>
      <c r="G10" s="863">
        <f>SUM(G7:G9)</f>
        <v>51000</v>
      </c>
      <c r="H10" s="864"/>
      <c r="I10" s="305"/>
      <c r="K10" s="845"/>
    </row>
    <row r="11" spans="1:11">
      <c r="A11" s="262"/>
      <c r="B11" s="262"/>
      <c r="C11" s="865"/>
      <c r="D11" s="865"/>
      <c r="E11" s="865"/>
      <c r="F11" s="865"/>
      <c r="G11" s="511"/>
      <c r="H11" s="262"/>
      <c r="I11" s="305"/>
      <c r="J11" s="305"/>
      <c r="K11" s="845"/>
    </row>
    <row r="12" spans="1:11" ht="14" thickBot="1">
      <c r="A12" s="262"/>
      <c r="B12" s="262"/>
      <c r="C12" s="865"/>
      <c r="D12" s="865"/>
      <c r="E12" s="865"/>
      <c r="F12" s="865"/>
      <c r="G12" s="511"/>
      <c r="H12" s="262"/>
      <c r="I12" s="305"/>
      <c r="J12" s="305"/>
      <c r="K12" s="845"/>
    </row>
    <row r="13" spans="1:11" ht="43" thickBot="1">
      <c r="A13" s="834" t="str">
        <f>'DATOS COST UNIT.'!A50</f>
        <v>Boda</v>
      </c>
      <c r="B13" s="834" t="s">
        <v>376</v>
      </c>
      <c r="C13" s="835" t="s">
        <v>81</v>
      </c>
      <c r="D13" s="834" t="s">
        <v>71</v>
      </c>
      <c r="E13" s="834" t="s">
        <v>37</v>
      </c>
      <c r="F13" s="836" t="s">
        <v>113</v>
      </c>
      <c r="G13" s="836" t="s">
        <v>379</v>
      </c>
      <c r="H13" s="836" t="s">
        <v>115</v>
      </c>
      <c r="I13" s="305"/>
      <c r="J13" s="305"/>
      <c r="K13" s="845"/>
    </row>
    <row r="14" spans="1:11" ht="14" thickBot="1">
      <c r="A14" s="837" t="str">
        <f>A6</f>
        <v>Unidades</v>
      </c>
      <c r="B14" s="838">
        <f>Pres.Ventas!P32</f>
        <v>1.0833333333333333</v>
      </c>
      <c r="C14" s="839"/>
      <c r="D14" s="840"/>
      <c r="E14" s="841"/>
      <c r="F14" s="842"/>
      <c r="G14" s="843"/>
      <c r="H14" s="866">
        <f>B14*12</f>
        <v>13</v>
      </c>
      <c r="I14" s="305"/>
      <c r="J14" s="305"/>
      <c r="K14" s="845"/>
    </row>
    <row r="15" spans="1:11" ht="14" thickBot="1">
      <c r="A15" s="867" t="str">
        <f>A7</f>
        <v>Materia prima</v>
      </c>
      <c r="B15" s="846"/>
      <c r="C15" s="847">
        <v>377.58</v>
      </c>
      <c r="D15" s="848"/>
      <c r="E15" s="849">
        <f>C15*$B$14</f>
        <v>409.04499999999996</v>
      </c>
      <c r="F15" s="850"/>
      <c r="G15" s="851">
        <f>E15*12</f>
        <v>4908.5399999999991</v>
      </c>
      <c r="H15" s="852"/>
      <c r="I15" s="305"/>
      <c r="J15" s="305"/>
      <c r="K15" s="845"/>
    </row>
    <row r="16" spans="1:11" ht="14" thickBot="1">
      <c r="A16" s="867" t="str">
        <f>A8</f>
        <v>Cargos indirectos</v>
      </c>
      <c r="B16" s="846"/>
      <c r="C16" s="853">
        <f>'DATOS COST UNIT.'!I50</f>
        <v>7000.0000000000009</v>
      </c>
      <c r="D16" s="848"/>
      <c r="E16" s="849">
        <f>C16*$B$14</f>
        <v>7583.3333333333339</v>
      </c>
      <c r="F16" s="854"/>
      <c r="G16" s="851">
        <f>E16*12</f>
        <v>91000</v>
      </c>
      <c r="H16" s="852"/>
      <c r="I16" s="305"/>
      <c r="J16" s="305"/>
      <c r="K16" s="845"/>
    </row>
    <row r="17" spans="1:11">
      <c r="A17" s="867" t="str">
        <f>A9</f>
        <v>Mano de Obra por unidad</v>
      </c>
      <c r="B17" s="846"/>
      <c r="C17" s="853">
        <f>'DATOS COST UNIT.'!J50</f>
        <v>0</v>
      </c>
      <c r="D17" s="848"/>
      <c r="E17" s="849">
        <f>C17*$B$14</f>
        <v>0</v>
      </c>
      <c r="F17" s="854"/>
      <c r="G17" s="851">
        <f>E17*12</f>
        <v>0</v>
      </c>
      <c r="H17" s="852"/>
      <c r="I17" s="305"/>
      <c r="J17" s="305"/>
      <c r="K17" s="845"/>
    </row>
    <row r="18" spans="1:11" ht="14" thickBot="1">
      <c r="A18" s="485" t="s">
        <v>35</v>
      </c>
      <c r="B18" s="858"/>
      <c r="C18" s="859"/>
      <c r="D18" s="860">
        <v>377.58</v>
      </c>
      <c r="E18" s="861">
        <f>SUM(E15:E17)</f>
        <v>7992.378333333334</v>
      </c>
      <c r="F18" s="862">
        <f>SUM(E15:E17)</f>
        <v>7992.378333333334</v>
      </c>
      <c r="G18" s="863">
        <f>SUM(G15:G17)</f>
        <v>95908.54</v>
      </c>
      <c r="H18" s="864"/>
      <c r="I18" s="305"/>
      <c r="J18" s="305"/>
      <c r="K18" s="845"/>
    </row>
    <row r="19" spans="1:11">
      <c r="A19" s="262"/>
      <c r="B19" s="262"/>
      <c r="C19" s="865"/>
      <c r="D19" s="865"/>
      <c r="E19" s="865"/>
      <c r="F19" s="865"/>
      <c r="G19" s="511"/>
      <c r="H19" s="262"/>
      <c r="I19" s="305"/>
      <c r="J19" s="305"/>
    </row>
    <row r="20" spans="1:11" ht="14" thickBot="1">
      <c r="A20" s="262"/>
      <c r="B20" s="262"/>
      <c r="C20" s="865"/>
      <c r="D20" s="865"/>
      <c r="E20" s="865"/>
      <c r="F20" s="865"/>
      <c r="G20" s="511"/>
      <c r="H20" s="262"/>
      <c r="I20" s="305"/>
      <c r="J20" s="305"/>
    </row>
    <row r="21" spans="1:11" s="305" customFormat="1" ht="53.25" customHeight="1" thickBot="1">
      <c r="A21" s="834" t="str">
        <f>'DATOS COST UNIT.'!A51</f>
        <v>Hora extra</v>
      </c>
      <c r="B21" s="834" t="s">
        <v>376</v>
      </c>
      <c r="C21" s="835" t="s">
        <v>81</v>
      </c>
      <c r="D21" s="834" t="s">
        <v>71</v>
      </c>
      <c r="E21" s="834" t="s">
        <v>37</v>
      </c>
      <c r="F21" s="836" t="s">
        <v>113</v>
      </c>
      <c r="G21" s="836" t="s">
        <v>379</v>
      </c>
      <c r="H21" s="836" t="s">
        <v>115</v>
      </c>
    </row>
    <row r="22" spans="1:11">
      <c r="A22" s="837" t="str">
        <f>A14</f>
        <v>Unidades</v>
      </c>
      <c r="B22" s="838">
        <f>Pres.Ventas!P33</f>
        <v>1.25</v>
      </c>
      <c r="C22" s="839"/>
      <c r="D22" s="840"/>
      <c r="E22" s="841"/>
      <c r="F22" s="842"/>
      <c r="G22" s="843"/>
      <c r="H22" s="866">
        <f>B22*12</f>
        <v>15</v>
      </c>
      <c r="I22" s="305"/>
      <c r="J22" s="305"/>
    </row>
    <row r="23" spans="1:11">
      <c r="A23" s="253" t="str">
        <f>A15</f>
        <v>Materia prima</v>
      </c>
      <c r="B23" s="846"/>
      <c r="C23" s="847">
        <f>'DATOS COST UNIT.'!K51</f>
        <v>7420</v>
      </c>
      <c r="D23" s="848"/>
      <c r="E23" s="849">
        <f>C23*$B$22</f>
        <v>9275</v>
      </c>
      <c r="F23" s="850"/>
      <c r="G23" s="851">
        <f>E23*12</f>
        <v>111300</v>
      </c>
      <c r="H23" s="852"/>
      <c r="I23" s="305"/>
      <c r="J23" s="305"/>
    </row>
    <row r="24" spans="1:11">
      <c r="A24" s="253" t="str">
        <f>A16</f>
        <v>Cargos indirectos</v>
      </c>
      <c r="B24" s="846"/>
      <c r="C24" s="853">
        <f>'DATOS COST UNIT.'!I51</f>
        <v>420.00000000000006</v>
      </c>
      <c r="D24" s="848"/>
      <c r="E24" s="849">
        <f>C24*$B$22</f>
        <v>525.00000000000011</v>
      </c>
      <c r="F24" s="854"/>
      <c r="G24" s="851">
        <f>E24*12</f>
        <v>6300.0000000000018</v>
      </c>
      <c r="H24" s="852"/>
      <c r="I24" s="305"/>
      <c r="J24" s="305"/>
    </row>
    <row r="25" spans="1:11">
      <c r="A25" s="253" t="str">
        <f>A17</f>
        <v>Mano de Obra por unidad</v>
      </c>
      <c r="B25" s="846"/>
      <c r="C25" s="853">
        <f>'DATOS COST UNIT.'!J51</f>
        <v>0</v>
      </c>
      <c r="D25" s="848"/>
      <c r="E25" s="849">
        <f>C25*$B$22</f>
        <v>0</v>
      </c>
      <c r="F25" s="854"/>
      <c r="G25" s="851">
        <f>E25*12</f>
        <v>0</v>
      </c>
      <c r="H25" s="852"/>
      <c r="I25" s="305"/>
      <c r="J25" s="305"/>
    </row>
    <row r="26" spans="1:11" ht="14" thickBot="1">
      <c r="A26" s="485" t="s">
        <v>35</v>
      </c>
      <c r="B26" s="858"/>
      <c r="C26" s="859"/>
      <c r="D26" s="860">
        <f>SUM(C23:C25)</f>
        <v>7840</v>
      </c>
      <c r="E26" s="861">
        <f>SUM(E23:E25)</f>
        <v>9800</v>
      </c>
      <c r="F26" s="862">
        <f>SUM(E23:E25)</f>
        <v>9800</v>
      </c>
      <c r="G26" s="863">
        <f>SUM(G23:G25)</f>
        <v>117600</v>
      </c>
      <c r="H26" s="864"/>
      <c r="I26" s="305"/>
      <c r="J26" s="305"/>
    </row>
    <row r="27" spans="1:11">
      <c r="A27" s="262"/>
      <c r="B27" s="262"/>
      <c r="C27" s="865"/>
      <c r="D27" s="865"/>
      <c r="E27" s="865"/>
      <c r="F27" s="865"/>
      <c r="G27" s="511"/>
      <c r="H27" s="262"/>
      <c r="I27" s="305"/>
      <c r="J27" s="305"/>
    </row>
    <row r="28" spans="1:11" ht="14" thickBot="1">
      <c r="A28" s="262"/>
      <c r="B28" s="262"/>
      <c r="C28" s="865"/>
      <c r="D28" s="865"/>
      <c r="E28" s="865"/>
      <c r="F28" s="865"/>
      <c r="G28" s="511"/>
      <c r="H28" s="262"/>
      <c r="I28" s="305"/>
      <c r="J28" s="305"/>
    </row>
    <row r="29" spans="1:11" s="305" customFormat="1" ht="43" thickBot="1">
      <c r="A29" s="834" t="str">
        <f>'DATOS COST UNIT.'!A52</f>
        <v>Club</v>
      </c>
      <c r="B29" s="834" t="s">
        <v>376</v>
      </c>
      <c r="C29" s="835" t="s">
        <v>81</v>
      </c>
      <c r="D29" s="834" t="s">
        <v>71</v>
      </c>
      <c r="E29" s="834" t="s">
        <v>37</v>
      </c>
      <c r="F29" s="836" t="s">
        <v>113</v>
      </c>
      <c r="G29" s="836" t="s">
        <v>379</v>
      </c>
      <c r="H29" s="836" t="s">
        <v>115</v>
      </c>
    </row>
    <row r="30" spans="1:11">
      <c r="A30" s="837" t="str">
        <f>A22</f>
        <v>Unidades</v>
      </c>
      <c r="B30" s="868">
        <f>Pres.Ventas!P34</f>
        <v>0.33333333333333331</v>
      </c>
      <c r="C30" s="839"/>
      <c r="D30" s="840"/>
      <c r="E30" s="841"/>
      <c r="F30" s="842"/>
      <c r="G30" s="843"/>
      <c r="H30" s="866">
        <f>B30*12</f>
        <v>4</v>
      </c>
      <c r="I30" s="305"/>
      <c r="J30" s="305"/>
    </row>
    <row r="31" spans="1:11">
      <c r="A31" s="253" t="str">
        <f>A23</f>
        <v>Materia prima</v>
      </c>
      <c r="B31" s="846"/>
      <c r="C31" s="847">
        <f>'DATOS COST UNIT.'!K52</f>
        <v>10105</v>
      </c>
      <c r="D31" s="848"/>
      <c r="E31" s="849">
        <f>C31*B30</f>
        <v>3368.333333333333</v>
      </c>
      <c r="F31" s="850"/>
      <c r="G31" s="851">
        <f>E31*12</f>
        <v>40420</v>
      </c>
      <c r="H31" s="852"/>
      <c r="I31" s="305"/>
      <c r="J31" s="305"/>
    </row>
    <row r="32" spans="1:11">
      <c r="A32" s="253" t="str">
        <f>A24</f>
        <v>Cargos indirectos</v>
      </c>
      <c r="B32" s="846"/>
      <c r="C32" s="853">
        <f>'DATOS COST UNIT.'!I58</f>
        <v>0</v>
      </c>
      <c r="D32" s="848"/>
      <c r="E32" s="849">
        <f>C32*B30</f>
        <v>0</v>
      </c>
      <c r="F32" s="854"/>
      <c r="G32" s="851">
        <f>E32*12</f>
        <v>0</v>
      </c>
      <c r="H32" s="852"/>
      <c r="I32" s="305"/>
      <c r="J32" s="305"/>
    </row>
    <row r="33" spans="1:10">
      <c r="A33" s="253" t="str">
        <f>A25</f>
        <v>Mano de Obra por unidad</v>
      </c>
      <c r="B33" s="846"/>
      <c r="C33" s="853">
        <f>'DATOS COST UNIT.'!J58</f>
        <v>0</v>
      </c>
      <c r="D33" s="848"/>
      <c r="E33" s="849">
        <f>C33*B31</f>
        <v>0</v>
      </c>
      <c r="F33" s="854"/>
      <c r="G33" s="851">
        <f>E33*12</f>
        <v>0</v>
      </c>
      <c r="H33" s="852"/>
      <c r="I33" s="305"/>
      <c r="J33" s="305"/>
    </row>
    <row r="34" spans="1:10" ht="14" thickBot="1">
      <c r="A34" s="485" t="s">
        <v>35</v>
      </c>
      <c r="B34" s="858"/>
      <c r="C34" s="859"/>
      <c r="D34" s="869">
        <f>SUM(C31:C33)</f>
        <v>10105</v>
      </c>
      <c r="E34" s="861">
        <f>SUM(E31:E33)</f>
        <v>3368.333333333333</v>
      </c>
      <c r="F34" s="870">
        <f>SUM(E31:E33)</f>
        <v>3368.333333333333</v>
      </c>
      <c r="G34" s="863">
        <f>SUM(G31:G33)</f>
        <v>40420</v>
      </c>
      <c r="H34" s="864"/>
      <c r="I34" s="871"/>
      <c r="J34" s="872"/>
    </row>
    <row r="35" spans="1:10">
      <c r="A35" s="262"/>
      <c r="B35" s="262"/>
      <c r="C35" s="865"/>
      <c r="D35" s="394"/>
      <c r="E35" s="313"/>
      <c r="F35" s="313"/>
      <c r="G35" s="511"/>
      <c r="H35" s="262"/>
      <c r="I35" s="871"/>
      <c r="J35" s="872"/>
    </row>
    <row r="36" spans="1:10" ht="14" thickBot="1">
      <c r="A36" s="262"/>
      <c r="B36" s="262"/>
      <c r="C36" s="865"/>
      <c r="D36" s="394"/>
      <c r="E36" s="313"/>
      <c r="F36" s="313"/>
      <c r="G36" s="511"/>
      <c r="H36" s="262"/>
      <c r="I36" s="871"/>
      <c r="J36" s="872"/>
    </row>
    <row r="37" spans="1:10" s="305" customFormat="1" ht="43" thickBot="1">
      <c r="A37" s="836">
        <f>'DATOS COST UNIT.'!A53</f>
        <v>0</v>
      </c>
      <c r="B37" s="836" t="s">
        <v>376</v>
      </c>
      <c r="C37" s="873" t="s">
        <v>81</v>
      </c>
      <c r="D37" s="836" t="s">
        <v>71</v>
      </c>
      <c r="E37" s="836" t="s">
        <v>37</v>
      </c>
      <c r="F37" s="836" t="s">
        <v>113</v>
      </c>
      <c r="G37" s="836" t="s">
        <v>379</v>
      </c>
      <c r="H37" s="836" t="s">
        <v>115</v>
      </c>
      <c r="J37" s="872"/>
    </row>
    <row r="38" spans="1:10">
      <c r="A38" s="837" t="str">
        <f>A30</f>
        <v>Unidades</v>
      </c>
      <c r="B38" s="838">
        <f>Pres.Ventas!P35</f>
        <v>8.3333333333333329E-2</v>
      </c>
      <c r="C38" s="839"/>
      <c r="D38" s="840"/>
      <c r="E38" s="841"/>
      <c r="F38" s="842"/>
      <c r="G38" s="843"/>
      <c r="H38" s="866">
        <f>B38*12</f>
        <v>1</v>
      </c>
      <c r="I38" s="305"/>
      <c r="J38" s="872"/>
    </row>
    <row r="39" spans="1:10">
      <c r="A39" s="253" t="str">
        <f>A31</f>
        <v>Materia prima</v>
      </c>
      <c r="B39" s="846"/>
      <c r="C39" s="847">
        <f>'DATOS COST UNIT.'!K53</f>
        <v>10000</v>
      </c>
      <c r="D39" s="848"/>
      <c r="E39" s="849">
        <f>C39*$B$22</f>
        <v>12500</v>
      </c>
      <c r="F39" s="850"/>
      <c r="G39" s="851">
        <f>E39*12</f>
        <v>150000</v>
      </c>
      <c r="H39" s="852"/>
      <c r="I39" s="305"/>
      <c r="J39" s="872"/>
    </row>
    <row r="40" spans="1:10">
      <c r="A40" s="253" t="str">
        <f>A32</f>
        <v>Cargos indirectos</v>
      </c>
      <c r="B40" s="846"/>
      <c r="C40" s="853">
        <f>'DATOS COST UNIT.'!I59</f>
        <v>0</v>
      </c>
      <c r="D40" s="848"/>
      <c r="E40" s="849">
        <f>C40*$B$22</f>
        <v>0</v>
      </c>
      <c r="F40" s="854"/>
      <c r="G40" s="851">
        <f>E40*12</f>
        <v>0</v>
      </c>
      <c r="H40" s="852"/>
      <c r="I40" s="305"/>
      <c r="J40" s="872"/>
    </row>
    <row r="41" spans="1:10">
      <c r="A41" s="253" t="str">
        <f>A33</f>
        <v>Mano de Obra por unidad</v>
      </c>
      <c r="B41" s="846"/>
      <c r="C41" s="853">
        <f>'DATOS COST UNIT.'!J59</f>
        <v>0</v>
      </c>
      <c r="D41" s="848"/>
      <c r="E41" s="849">
        <f>C41*$B$22</f>
        <v>0</v>
      </c>
      <c r="F41" s="854"/>
      <c r="G41" s="851">
        <f>E41*12</f>
        <v>0</v>
      </c>
      <c r="H41" s="852"/>
      <c r="I41" s="305"/>
      <c r="J41" s="872"/>
    </row>
    <row r="42" spans="1:10" ht="14" thickBot="1">
      <c r="A42" s="485" t="s">
        <v>35</v>
      </c>
      <c r="B42" s="858"/>
      <c r="C42" s="859"/>
      <c r="D42" s="860">
        <f>SUM(C39:C41)</f>
        <v>10000</v>
      </c>
      <c r="E42" s="861">
        <f>SUM(E39:E41)</f>
        <v>12500</v>
      </c>
      <c r="F42" s="862">
        <f>SUM(E39:E41)</f>
        <v>12500</v>
      </c>
      <c r="G42" s="863">
        <f>SUM(G39:G41)</f>
        <v>150000</v>
      </c>
      <c r="H42" s="864"/>
      <c r="I42" s="305"/>
      <c r="J42" s="872"/>
    </row>
    <row r="43" spans="1:10">
      <c r="A43" s="262"/>
      <c r="B43" s="262"/>
      <c r="C43" s="865"/>
      <c r="D43" s="865"/>
      <c r="E43" s="865"/>
      <c r="F43" s="865"/>
      <c r="G43" s="511"/>
      <c r="H43" s="262"/>
      <c r="I43" s="305"/>
      <c r="J43" s="872"/>
    </row>
    <row r="44" spans="1:10" ht="14" thickBot="1">
      <c r="A44" s="262"/>
      <c r="B44" s="262"/>
      <c r="C44" s="865"/>
      <c r="D44" s="865"/>
      <c r="E44" s="865"/>
      <c r="F44" s="865"/>
      <c r="G44" s="511"/>
      <c r="H44" s="262"/>
      <c r="I44" s="305"/>
      <c r="J44" s="305"/>
    </row>
    <row r="45" spans="1:10" s="305" customFormat="1" ht="43" thickBot="1">
      <c r="A45" s="834">
        <f>'DATOS COST UNIT.'!A54</f>
        <v>0</v>
      </c>
      <c r="B45" s="834" t="s">
        <v>376</v>
      </c>
      <c r="C45" s="835" t="s">
        <v>81</v>
      </c>
      <c r="D45" s="834" t="s">
        <v>71</v>
      </c>
      <c r="E45" s="834" t="s">
        <v>37</v>
      </c>
      <c r="F45" s="836" t="s">
        <v>113</v>
      </c>
      <c r="G45" s="836" t="s">
        <v>379</v>
      </c>
      <c r="H45" s="836" t="s">
        <v>115</v>
      </c>
    </row>
    <row r="46" spans="1:10">
      <c r="A46" s="837" t="str">
        <f>A38</f>
        <v>Unidades</v>
      </c>
      <c r="B46" s="868">
        <f>Pres.Ventas!P36</f>
        <v>0</v>
      </c>
      <c r="C46" s="839"/>
      <c r="D46" s="840"/>
      <c r="E46" s="841"/>
      <c r="F46" s="842"/>
      <c r="G46" s="843"/>
      <c r="H46" s="866">
        <f>B46*12</f>
        <v>0</v>
      </c>
      <c r="I46" s="305"/>
      <c r="J46" s="305"/>
    </row>
    <row r="47" spans="1:10">
      <c r="A47" s="253" t="str">
        <f>A39</f>
        <v>Materia prima</v>
      </c>
      <c r="B47" s="846"/>
      <c r="C47" s="847">
        <f>'DATOS COST UNIT.'!K54</f>
        <v>10000</v>
      </c>
      <c r="D47" s="848"/>
      <c r="E47" s="849">
        <f>C47*B46</f>
        <v>0</v>
      </c>
      <c r="F47" s="850"/>
      <c r="G47" s="851">
        <f>E47*12</f>
        <v>0</v>
      </c>
      <c r="H47" s="852"/>
      <c r="I47" s="305"/>
      <c r="J47" s="305"/>
    </row>
    <row r="48" spans="1:10">
      <c r="A48" s="253" t="str">
        <f>A40</f>
        <v>Cargos indirectos</v>
      </c>
      <c r="B48" s="846"/>
      <c r="C48" s="853">
        <f>'DATOS COST UNIT.'!I60</f>
        <v>0</v>
      </c>
      <c r="D48" s="848"/>
      <c r="E48" s="849">
        <f>C48*B46</f>
        <v>0</v>
      </c>
      <c r="F48" s="854"/>
      <c r="G48" s="851">
        <f>E48*12</f>
        <v>0</v>
      </c>
      <c r="H48" s="852"/>
      <c r="I48" s="305"/>
      <c r="J48" s="305"/>
    </row>
    <row r="49" spans="1:10">
      <c r="A49" s="253" t="str">
        <f>A41</f>
        <v>Mano de Obra por unidad</v>
      </c>
      <c r="B49" s="846"/>
      <c r="C49" s="853">
        <f>'DATOS COST UNIT.'!J60</f>
        <v>0</v>
      </c>
      <c r="D49" s="848"/>
      <c r="E49" s="849">
        <f>C49*B47</f>
        <v>0</v>
      </c>
      <c r="F49" s="854"/>
      <c r="G49" s="851">
        <f>E49*12</f>
        <v>0</v>
      </c>
      <c r="H49" s="852"/>
      <c r="I49" s="305"/>
      <c r="J49" s="305"/>
    </row>
    <row r="50" spans="1:10" ht="14" thickBot="1">
      <c r="A50" s="485" t="s">
        <v>35</v>
      </c>
      <c r="B50" s="858"/>
      <c r="C50" s="859"/>
      <c r="D50" s="860">
        <f>SUM(C47:C49)</f>
        <v>10000</v>
      </c>
      <c r="E50" s="861">
        <f>SUM(E47:E49)</f>
        <v>0</v>
      </c>
      <c r="F50" s="862">
        <f>SUM(E47:E49)</f>
        <v>0</v>
      </c>
      <c r="G50" s="863">
        <f>SUM(G47:G49)</f>
        <v>0</v>
      </c>
      <c r="H50" s="864"/>
      <c r="I50" s="305"/>
      <c r="J50" s="305"/>
    </row>
    <row r="51" spans="1:10" ht="14" thickBot="1">
      <c r="A51" s="262"/>
      <c r="B51" s="262"/>
      <c r="C51" s="301"/>
      <c r="D51" s="301"/>
      <c r="E51" s="301"/>
      <c r="F51" s="301"/>
      <c r="G51" s="314"/>
      <c r="H51" s="874"/>
      <c r="I51" s="305"/>
      <c r="J51" s="305"/>
    </row>
    <row r="52" spans="1:10" s="305" customFormat="1" ht="43" thickBot="1">
      <c r="A52" s="834">
        <f>'DATOS COST UNIT.'!A55</f>
        <v>0</v>
      </c>
      <c r="B52" s="834" t="s">
        <v>376</v>
      </c>
      <c r="C52" s="835" t="s">
        <v>81</v>
      </c>
      <c r="D52" s="834" t="s">
        <v>71</v>
      </c>
      <c r="E52" s="834" t="s">
        <v>37</v>
      </c>
      <c r="F52" s="836" t="s">
        <v>113</v>
      </c>
      <c r="G52" s="836" t="s">
        <v>379</v>
      </c>
      <c r="H52" s="836" t="s">
        <v>115</v>
      </c>
    </row>
    <row r="53" spans="1:10">
      <c r="A53" s="837"/>
      <c r="B53" s="868">
        <f>Pres.Ventas!P37</f>
        <v>8.3333333333333329E-2</v>
      </c>
      <c r="C53" s="839"/>
      <c r="D53" s="840"/>
      <c r="E53" s="841"/>
      <c r="F53" s="842"/>
      <c r="G53" s="843"/>
      <c r="H53" s="866">
        <f>B53*12</f>
        <v>1</v>
      </c>
      <c r="I53" s="305"/>
      <c r="J53" s="305"/>
    </row>
    <row r="54" spans="1:10">
      <c r="A54" s="253" t="str">
        <f>A46</f>
        <v>Unidades</v>
      </c>
      <c r="B54" s="846"/>
      <c r="C54" s="847">
        <f>'DATOS COST UNIT.'!K55</f>
        <v>10000</v>
      </c>
      <c r="D54" s="848"/>
      <c r="E54" s="849">
        <f>C54*B53</f>
        <v>833.33333333333326</v>
      </c>
      <c r="F54" s="850"/>
      <c r="G54" s="851">
        <f>E54*12</f>
        <v>10000</v>
      </c>
      <c r="H54" s="852"/>
      <c r="I54" s="305"/>
      <c r="J54" s="305"/>
    </row>
    <row r="55" spans="1:10">
      <c r="A55" s="253" t="str">
        <f>A47</f>
        <v>Materia prima</v>
      </c>
      <c r="B55" s="846"/>
      <c r="C55" s="853">
        <f>'DATOS COST UNIT.'!I67</f>
        <v>0</v>
      </c>
      <c r="D55" s="848"/>
      <c r="E55" s="849">
        <f>C55*B53</f>
        <v>0</v>
      </c>
      <c r="F55" s="854"/>
      <c r="G55" s="851">
        <f>E55*12</f>
        <v>0</v>
      </c>
      <c r="H55" s="852"/>
      <c r="I55" s="305"/>
      <c r="J55" s="305"/>
    </row>
    <row r="56" spans="1:10">
      <c r="A56" s="253" t="str">
        <f>A48</f>
        <v>Cargos indirectos</v>
      </c>
      <c r="B56" s="846"/>
      <c r="C56" s="853">
        <f>'DATOS COST UNIT.'!J67</f>
        <v>0</v>
      </c>
      <c r="D56" s="848"/>
      <c r="E56" s="849">
        <f>C56*B54</f>
        <v>0</v>
      </c>
      <c r="F56" s="854"/>
      <c r="G56" s="851">
        <f>E56*12</f>
        <v>0</v>
      </c>
      <c r="H56" s="852"/>
      <c r="I56" s="305"/>
      <c r="J56" s="305"/>
    </row>
    <row r="57" spans="1:10" ht="14" thickBot="1">
      <c r="A57" s="485" t="s">
        <v>35</v>
      </c>
      <c r="B57" s="858"/>
      <c r="C57" s="859"/>
      <c r="D57" s="860">
        <f>SUM(C54:C56)</f>
        <v>10000</v>
      </c>
      <c r="E57" s="861">
        <f>SUM(E54:E56)</f>
        <v>833.33333333333326</v>
      </c>
      <c r="F57" s="862">
        <f>SUM(E54:E56)</f>
        <v>833.33333333333326</v>
      </c>
      <c r="G57" s="863">
        <f>SUM(G54:G56)</f>
        <v>10000</v>
      </c>
      <c r="H57" s="864"/>
      <c r="I57" s="305"/>
      <c r="J57" s="305"/>
    </row>
    <row r="58" spans="1:10" ht="14" thickBot="1">
      <c r="A58" s="262"/>
      <c r="B58" s="262"/>
      <c r="C58" s="301"/>
      <c r="D58" s="301"/>
      <c r="E58" s="301"/>
      <c r="F58" s="301"/>
      <c r="G58" s="314"/>
      <c r="H58" s="874"/>
      <c r="I58" s="305"/>
      <c r="J58" s="305"/>
    </row>
    <row r="59" spans="1:10" s="305" customFormat="1" ht="43" thickBot="1">
      <c r="A59" s="834">
        <f>'DATOS COST UNIT.'!A56</f>
        <v>0</v>
      </c>
      <c r="B59" s="834" t="s">
        <v>376</v>
      </c>
      <c r="C59" s="835" t="s">
        <v>81</v>
      </c>
      <c r="D59" s="834" t="s">
        <v>71</v>
      </c>
      <c r="E59" s="834" t="s">
        <v>37</v>
      </c>
      <c r="F59" s="836" t="s">
        <v>113</v>
      </c>
      <c r="G59" s="836" t="s">
        <v>379</v>
      </c>
      <c r="H59" s="836" t="s">
        <v>115</v>
      </c>
    </row>
    <row r="60" spans="1:10">
      <c r="A60" s="837"/>
      <c r="B60" s="868">
        <f>Pres.Ventas!P38</f>
        <v>8.3333333333333329E-2</v>
      </c>
      <c r="C60" s="839"/>
      <c r="D60" s="840"/>
      <c r="E60" s="841"/>
      <c r="F60" s="842"/>
      <c r="G60" s="843"/>
      <c r="H60" s="866">
        <f>B60*12</f>
        <v>1</v>
      </c>
      <c r="I60" s="305"/>
      <c r="J60" s="305"/>
    </row>
    <row r="61" spans="1:10">
      <c r="A61" s="253"/>
      <c r="B61" s="846"/>
      <c r="C61" s="847"/>
      <c r="D61" s="848"/>
      <c r="E61" s="849">
        <f>C61*B60</f>
        <v>0</v>
      </c>
      <c r="F61" s="850"/>
      <c r="G61" s="851">
        <f>E61*12</f>
        <v>0</v>
      </c>
      <c r="H61" s="852"/>
      <c r="I61" s="305"/>
      <c r="J61" s="305"/>
    </row>
    <row r="62" spans="1:10">
      <c r="A62" s="253" t="str">
        <f>A54</f>
        <v>Unidades</v>
      </c>
      <c r="B62" s="846"/>
      <c r="C62" s="853">
        <f>'DATOS COST UNIT.'!K56</f>
        <v>1000</v>
      </c>
      <c r="D62" s="848"/>
      <c r="E62" s="849">
        <f>C62*B60</f>
        <v>83.333333333333329</v>
      </c>
      <c r="F62" s="854"/>
      <c r="G62" s="851">
        <f>E62*12</f>
        <v>1000</v>
      </c>
      <c r="H62" s="852"/>
      <c r="I62" s="305"/>
      <c r="J62" s="305"/>
    </row>
    <row r="63" spans="1:10">
      <c r="A63" s="253" t="str">
        <f>A55</f>
        <v>Materia prima</v>
      </c>
      <c r="B63" s="846"/>
      <c r="C63" s="853">
        <f>'DATOS COST UNIT.'!J74</f>
        <v>0</v>
      </c>
      <c r="D63" s="848"/>
      <c r="E63" s="849">
        <f>C63*B61</f>
        <v>0</v>
      </c>
      <c r="F63" s="854"/>
      <c r="G63" s="851">
        <f>E63*12</f>
        <v>0</v>
      </c>
      <c r="H63" s="852"/>
      <c r="I63" s="305"/>
      <c r="J63" s="305"/>
    </row>
    <row r="64" spans="1:10" ht="14" thickBot="1">
      <c r="A64" s="485" t="s">
        <v>35</v>
      </c>
      <c r="B64" s="858"/>
      <c r="C64" s="859"/>
      <c r="D64" s="860">
        <f>SUM(C61:C63)</f>
        <v>1000</v>
      </c>
      <c r="E64" s="861">
        <f>SUM(E61:E63)</f>
        <v>83.333333333333329</v>
      </c>
      <c r="F64" s="862">
        <f>SUM(E61:E63)</f>
        <v>83.333333333333329</v>
      </c>
      <c r="G64" s="863">
        <f>SUM(G61:G63)</f>
        <v>1000</v>
      </c>
      <c r="H64" s="864"/>
      <c r="I64" s="305"/>
      <c r="J64" s="305"/>
    </row>
    <row r="65" spans="1:11" ht="14" thickBot="1">
      <c r="A65" s="262"/>
      <c r="B65" s="262"/>
      <c r="C65" s="301"/>
      <c r="D65" s="301"/>
      <c r="E65" s="301"/>
      <c r="F65" s="301"/>
      <c r="G65" s="314"/>
      <c r="H65" s="874"/>
      <c r="I65" s="305"/>
      <c r="J65" s="305"/>
    </row>
    <row r="66" spans="1:11" s="305" customFormat="1" ht="43" thickBot="1">
      <c r="A66" s="875">
        <f>'DATOS COST UNIT.'!A57</f>
        <v>0</v>
      </c>
      <c r="B66" s="876" t="s">
        <v>376</v>
      </c>
      <c r="C66" s="877" t="s">
        <v>81</v>
      </c>
      <c r="D66" s="875" t="s">
        <v>71</v>
      </c>
      <c r="E66" s="876" t="s">
        <v>37</v>
      </c>
      <c r="F66" s="878" t="s">
        <v>113</v>
      </c>
      <c r="G66" s="878" t="s">
        <v>379</v>
      </c>
      <c r="H66" s="878" t="s">
        <v>115</v>
      </c>
    </row>
    <row r="67" spans="1:11">
      <c r="A67" s="879"/>
      <c r="B67" s="880">
        <f>Pres.Ventas!P39</f>
        <v>0</v>
      </c>
      <c r="C67" s="881"/>
      <c r="D67" s="882"/>
      <c r="E67" s="883"/>
      <c r="F67" s="884"/>
      <c r="G67" s="885"/>
      <c r="H67" s="886">
        <f>B67*12</f>
        <v>0</v>
      </c>
      <c r="I67" s="305"/>
      <c r="J67" s="305"/>
    </row>
    <row r="68" spans="1:11">
      <c r="A68" s="300" t="s">
        <v>380</v>
      </c>
      <c r="B68" s="887"/>
      <c r="C68" s="888" t="s">
        <v>31</v>
      </c>
      <c r="D68" s="889"/>
      <c r="E68" s="890">
        <f>B67*C69</f>
        <v>0</v>
      </c>
      <c r="F68" s="884"/>
      <c r="G68" s="891">
        <v>0</v>
      </c>
      <c r="H68" s="886"/>
      <c r="I68" s="305"/>
      <c r="J68" s="305"/>
    </row>
    <row r="69" spans="1:11">
      <c r="A69" s="300" t="s">
        <v>70</v>
      </c>
      <c r="B69" s="887"/>
      <c r="C69" s="892">
        <f>'DATOS COST UNIT.'!K57</f>
        <v>0</v>
      </c>
      <c r="D69" s="889"/>
      <c r="E69" s="893" t="s">
        <v>465</v>
      </c>
      <c r="F69" s="894"/>
      <c r="G69" s="895">
        <f>F71*12</f>
        <v>0</v>
      </c>
      <c r="H69" s="886"/>
      <c r="I69" s="305"/>
      <c r="J69" s="305"/>
    </row>
    <row r="70" spans="1:11">
      <c r="A70" s="300" t="s">
        <v>116</v>
      </c>
      <c r="B70" s="887"/>
      <c r="C70" s="892">
        <v>0</v>
      </c>
      <c r="D70" s="889"/>
      <c r="E70" s="893" t="s">
        <v>465</v>
      </c>
      <c r="F70" s="894"/>
      <c r="G70" s="895">
        <v>0</v>
      </c>
      <c r="H70" s="886"/>
      <c r="I70" s="305"/>
      <c r="J70" s="305"/>
    </row>
    <row r="71" spans="1:11" ht="14" thickBot="1">
      <c r="A71" s="896" t="s">
        <v>35</v>
      </c>
      <c r="B71" s="897"/>
      <c r="C71" s="898"/>
      <c r="D71" s="899">
        <f>C69</f>
        <v>0</v>
      </c>
      <c r="E71" s="900" t="s">
        <v>465</v>
      </c>
      <c r="F71" s="901">
        <f>E68</f>
        <v>0</v>
      </c>
      <c r="G71" s="902">
        <f>G69</f>
        <v>0</v>
      </c>
      <c r="H71" s="903"/>
      <c r="I71" s="305"/>
      <c r="J71" s="305"/>
    </row>
    <row r="72" spans="1:11">
      <c r="A72" s="262"/>
      <c r="B72" s="262"/>
      <c r="C72" s="301"/>
      <c r="D72" s="301"/>
      <c r="E72" s="301"/>
      <c r="F72" s="301"/>
      <c r="G72" s="314"/>
      <c r="H72" s="874"/>
      <c r="I72" s="305"/>
      <c r="J72" s="305"/>
    </row>
    <row r="73" spans="1:11" ht="14" thickBot="1">
      <c r="B73" s="262"/>
      <c r="C73" s="262"/>
      <c r="D73" s="301"/>
      <c r="E73" s="301"/>
      <c r="F73" s="301"/>
      <c r="G73" s="301"/>
      <c r="H73" s="314"/>
      <c r="I73" s="874"/>
      <c r="J73" s="305"/>
      <c r="K73" s="305"/>
    </row>
    <row r="74" spans="1:11" s="305" customFormat="1" ht="43" thickBot="1">
      <c r="A74" s="875">
        <f>'DATOS COST UNIT.'!A58</f>
        <v>0</v>
      </c>
      <c r="B74" s="876" t="s">
        <v>376</v>
      </c>
      <c r="C74" s="877" t="s">
        <v>81</v>
      </c>
      <c r="D74" s="875" t="s">
        <v>71</v>
      </c>
      <c r="E74" s="876" t="s">
        <v>37</v>
      </c>
      <c r="F74" s="878" t="s">
        <v>113</v>
      </c>
      <c r="G74" s="878" t="s">
        <v>379</v>
      </c>
      <c r="H74" s="878" t="s">
        <v>115</v>
      </c>
      <c r="I74" s="874"/>
    </row>
    <row r="75" spans="1:11">
      <c r="A75" s="879"/>
      <c r="B75" s="880">
        <f>Pres.Ventas!P40</f>
        <v>0</v>
      </c>
      <c r="C75" s="881"/>
      <c r="D75" s="882"/>
      <c r="E75" s="883"/>
      <c r="F75" s="884"/>
      <c r="G75" s="885"/>
      <c r="H75" s="886">
        <f>B75*12</f>
        <v>0</v>
      </c>
      <c r="I75" s="874"/>
      <c r="J75" s="305"/>
      <c r="K75" s="305"/>
    </row>
    <row r="76" spans="1:11">
      <c r="A76" s="300" t="s">
        <v>380</v>
      </c>
      <c r="B76" s="887"/>
      <c r="C76" s="888" t="s">
        <v>31</v>
      </c>
      <c r="D76" s="889"/>
      <c r="E76" s="890">
        <f>B75*C77</f>
        <v>0</v>
      </c>
      <c r="F76" s="884"/>
      <c r="G76" s="891">
        <v>0</v>
      </c>
      <c r="H76" s="886"/>
      <c r="I76" s="874"/>
      <c r="J76" s="305"/>
      <c r="K76" s="305"/>
    </row>
    <row r="77" spans="1:11">
      <c r="A77" s="300" t="s">
        <v>70</v>
      </c>
      <c r="B77" s="887"/>
      <c r="C77" s="892">
        <f>'DATOS COST UNIT.'!K58</f>
        <v>0</v>
      </c>
      <c r="D77" s="889"/>
      <c r="E77" s="893" t="s">
        <v>465</v>
      </c>
      <c r="F77" s="894"/>
      <c r="G77" s="895">
        <f>F79*12</f>
        <v>0</v>
      </c>
      <c r="H77" s="886"/>
      <c r="I77" s="874"/>
      <c r="J77" s="305"/>
      <c r="K77" s="305"/>
    </row>
    <row r="78" spans="1:11">
      <c r="A78" s="300" t="s">
        <v>116</v>
      </c>
      <c r="B78" s="887"/>
      <c r="C78" s="892">
        <v>0</v>
      </c>
      <c r="D78" s="889"/>
      <c r="E78" s="893" t="s">
        <v>465</v>
      </c>
      <c r="F78" s="894"/>
      <c r="G78" s="895">
        <v>0</v>
      </c>
      <c r="H78" s="886"/>
      <c r="I78" s="874"/>
      <c r="J78" s="305"/>
      <c r="K78" s="305"/>
    </row>
    <row r="79" spans="1:11" ht="14" thickBot="1">
      <c r="A79" s="896" t="s">
        <v>35</v>
      </c>
      <c r="B79" s="897"/>
      <c r="C79" s="898"/>
      <c r="D79" s="899">
        <f>C77</f>
        <v>0</v>
      </c>
      <c r="E79" s="900" t="s">
        <v>465</v>
      </c>
      <c r="F79" s="901">
        <f>E76</f>
        <v>0</v>
      </c>
      <c r="G79" s="902">
        <f>G77</f>
        <v>0</v>
      </c>
      <c r="H79" s="903"/>
      <c r="I79" s="874"/>
      <c r="J79" s="305"/>
      <c r="K79" s="305"/>
    </row>
    <row r="80" spans="1:11" ht="14" thickBot="1">
      <c r="B80" s="262"/>
      <c r="C80" s="262"/>
      <c r="D80" s="301"/>
      <c r="E80" s="301"/>
      <c r="F80" s="301"/>
      <c r="G80" s="301"/>
      <c r="H80" s="314"/>
      <c r="I80" s="874"/>
      <c r="J80" s="305"/>
      <c r="K80" s="305"/>
    </row>
    <row r="81" spans="1:11" s="305" customFormat="1" ht="43" thickBot="1">
      <c r="A81" s="875">
        <f>'DATOS COST UNIT.'!A59</f>
        <v>0</v>
      </c>
      <c r="B81" s="876" t="s">
        <v>376</v>
      </c>
      <c r="C81" s="877" t="s">
        <v>81</v>
      </c>
      <c r="D81" s="875" t="s">
        <v>71</v>
      </c>
      <c r="E81" s="876" t="s">
        <v>37</v>
      </c>
      <c r="F81" s="878" t="s">
        <v>113</v>
      </c>
      <c r="G81" s="878" t="s">
        <v>379</v>
      </c>
      <c r="H81" s="878" t="s">
        <v>115</v>
      </c>
      <c r="I81" s="874"/>
    </row>
    <row r="82" spans="1:11">
      <c r="A82" s="879"/>
      <c r="B82" s="880">
        <f>Pres.Ventas!P41</f>
        <v>0</v>
      </c>
      <c r="C82" s="881"/>
      <c r="D82" s="882"/>
      <c r="E82" s="883"/>
      <c r="F82" s="884"/>
      <c r="G82" s="885"/>
      <c r="H82" s="886">
        <f>B82*12</f>
        <v>0</v>
      </c>
      <c r="I82" s="874"/>
      <c r="J82" s="305"/>
      <c r="K82" s="305"/>
    </row>
    <row r="83" spans="1:11">
      <c r="A83" s="300" t="s">
        <v>380</v>
      </c>
      <c r="B83" s="887"/>
      <c r="C83" s="888" t="s">
        <v>31</v>
      </c>
      <c r="D83" s="889"/>
      <c r="E83" s="890">
        <f>B82*C84</f>
        <v>0</v>
      </c>
      <c r="F83" s="884"/>
      <c r="G83" s="891">
        <v>0</v>
      </c>
      <c r="H83" s="886"/>
      <c r="I83" s="874"/>
      <c r="J83" s="305"/>
      <c r="K83" s="305"/>
    </row>
    <row r="84" spans="1:11">
      <c r="A84" s="300" t="s">
        <v>70</v>
      </c>
      <c r="B84" s="887"/>
      <c r="C84" s="892">
        <f>'DATOS COST UNIT.'!K59</f>
        <v>0</v>
      </c>
      <c r="D84" s="889"/>
      <c r="E84" s="893" t="s">
        <v>465</v>
      </c>
      <c r="F84" s="894"/>
      <c r="G84" s="895">
        <f>F86*12</f>
        <v>0</v>
      </c>
      <c r="H84" s="886"/>
      <c r="I84" s="874"/>
      <c r="J84" s="305"/>
      <c r="K84" s="305"/>
    </row>
    <row r="85" spans="1:11">
      <c r="A85" s="300" t="s">
        <v>116</v>
      </c>
      <c r="B85" s="887"/>
      <c r="C85" s="892">
        <v>0</v>
      </c>
      <c r="D85" s="889"/>
      <c r="E85" s="893" t="s">
        <v>465</v>
      </c>
      <c r="F85" s="894"/>
      <c r="G85" s="895">
        <v>0</v>
      </c>
      <c r="H85" s="886"/>
      <c r="I85" s="874"/>
      <c r="J85" s="305"/>
      <c r="K85" s="305"/>
    </row>
    <row r="86" spans="1:11" ht="14" thickBot="1">
      <c r="A86" s="896" t="s">
        <v>35</v>
      </c>
      <c r="B86" s="897"/>
      <c r="C86" s="898"/>
      <c r="D86" s="899">
        <f>C84</f>
        <v>0</v>
      </c>
      <c r="E86" s="900" t="s">
        <v>465</v>
      </c>
      <c r="F86" s="901">
        <f>E83</f>
        <v>0</v>
      </c>
      <c r="G86" s="902">
        <f>G84</f>
        <v>0</v>
      </c>
      <c r="H86" s="903"/>
      <c r="I86" s="874"/>
      <c r="J86" s="305"/>
      <c r="K86" s="305"/>
    </row>
    <row r="87" spans="1:11" ht="14" thickBot="1">
      <c r="B87" s="262"/>
      <c r="C87" s="262"/>
      <c r="D87" s="301"/>
      <c r="E87" s="301"/>
      <c r="F87" s="301"/>
      <c r="G87" s="301"/>
      <c r="H87" s="314"/>
      <c r="I87" s="874"/>
      <c r="J87" s="305"/>
      <c r="K87" s="305"/>
    </row>
    <row r="88" spans="1:11" s="305" customFormat="1" ht="43" thickBot="1">
      <c r="A88" s="875">
        <f>'DATOS COST UNIT.'!A60</f>
        <v>0</v>
      </c>
      <c r="B88" s="876" t="s">
        <v>376</v>
      </c>
      <c r="C88" s="877" t="s">
        <v>81</v>
      </c>
      <c r="D88" s="875" t="s">
        <v>71</v>
      </c>
      <c r="E88" s="876" t="s">
        <v>37</v>
      </c>
      <c r="F88" s="878" t="s">
        <v>113</v>
      </c>
      <c r="G88" s="878" t="s">
        <v>379</v>
      </c>
      <c r="H88" s="878" t="s">
        <v>115</v>
      </c>
      <c r="I88" s="874"/>
    </row>
    <row r="89" spans="1:11">
      <c r="A89" s="879"/>
      <c r="B89" s="880">
        <f>Pres.Ventas!P42</f>
        <v>0</v>
      </c>
      <c r="C89" s="881"/>
      <c r="D89" s="882"/>
      <c r="E89" s="883"/>
      <c r="F89" s="884"/>
      <c r="G89" s="885"/>
      <c r="H89" s="886">
        <f>B89*12</f>
        <v>0</v>
      </c>
      <c r="I89" s="874"/>
      <c r="J89" s="305"/>
      <c r="K89" s="305"/>
    </row>
    <row r="90" spans="1:11">
      <c r="A90" s="300" t="s">
        <v>380</v>
      </c>
      <c r="B90" s="887"/>
      <c r="C90" s="888" t="s">
        <v>466</v>
      </c>
      <c r="D90" s="889"/>
      <c r="E90" s="890">
        <f>C91</f>
        <v>0</v>
      </c>
      <c r="F90" s="884"/>
      <c r="G90" s="891">
        <v>0</v>
      </c>
      <c r="H90" s="886"/>
      <c r="I90" s="874"/>
      <c r="J90" s="305"/>
      <c r="K90" s="305"/>
    </row>
    <row r="91" spans="1:11">
      <c r="A91" s="300" t="s">
        <v>70</v>
      </c>
      <c r="B91" s="887"/>
      <c r="C91" s="892">
        <f>'DATOS COST UNIT.'!K60</f>
        <v>0</v>
      </c>
      <c r="D91" s="889"/>
      <c r="E91" s="893" t="s">
        <v>467</v>
      </c>
      <c r="F91" s="894"/>
      <c r="G91" s="895">
        <f>E90*12</f>
        <v>0</v>
      </c>
      <c r="H91" s="886"/>
      <c r="I91" s="874"/>
      <c r="J91" s="305"/>
      <c r="K91" s="305"/>
    </row>
    <row r="92" spans="1:11">
      <c r="A92" s="300" t="s">
        <v>116</v>
      </c>
      <c r="B92" s="887"/>
      <c r="C92" s="892">
        <v>0</v>
      </c>
      <c r="D92" s="889"/>
      <c r="E92" s="893" t="s">
        <v>467</v>
      </c>
      <c r="F92" s="894"/>
      <c r="G92" s="895">
        <v>0</v>
      </c>
      <c r="H92" s="886"/>
      <c r="I92" s="874"/>
      <c r="J92" s="305"/>
      <c r="K92" s="305"/>
    </row>
    <row r="93" spans="1:11" ht="14" thickBot="1">
      <c r="A93" s="896" t="s">
        <v>35</v>
      </c>
      <c r="B93" s="897"/>
      <c r="C93" s="898"/>
      <c r="D93" s="899" t="s">
        <v>465</v>
      </c>
      <c r="E93" s="900" t="s">
        <v>467</v>
      </c>
      <c r="F93" s="901" t="e">
        <v>#VALUE!</v>
      </c>
      <c r="G93" s="902">
        <f>G91</f>
        <v>0</v>
      </c>
      <c r="H93" s="903"/>
      <c r="I93" s="874"/>
      <c r="J93" s="305"/>
      <c r="K93" s="305"/>
    </row>
    <row r="94" spans="1:11">
      <c r="B94" s="262"/>
      <c r="C94" s="262"/>
      <c r="D94" s="301"/>
      <c r="E94" s="301"/>
      <c r="F94" s="301"/>
      <c r="G94" s="301"/>
      <c r="H94" s="314"/>
      <c r="I94" s="874"/>
      <c r="J94" s="305"/>
      <c r="K94" s="305"/>
    </row>
    <row r="95" spans="1:11" ht="14" thickBot="1">
      <c r="B95" s="262"/>
      <c r="C95" s="262"/>
      <c r="D95" s="301"/>
      <c r="E95" s="301"/>
      <c r="F95" s="301"/>
      <c r="G95" s="301"/>
      <c r="H95" s="314"/>
      <c r="I95" s="874"/>
      <c r="J95" s="305"/>
      <c r="K95" s="305"/>
    </row>
    <row r="96" spans="1:11" ht="29" thickBot="1">
      <c r="B96" s="262"/>
      <c r="C96" s="262"/>
      <c r="D96" s="301"/>
      <c r="E96" s="301"/>
      <c r="F96" s="301"/>
      <c r="G96" s="836" t="s">
        <v>113</v>
      </c>
      <c r="H96" s="836" t="s">
        <v>379</v>
      </c>
      <c r="I96" s="874"/>
      <c r="J96" s="305"/>
      <c r="K96" s="305"/>
    </row>
    <row r="97" spans="1:10">
      <c r="A97" s="1199" t="s">
        <v>381</v>
      </c>
      <c r="B97" s="1200"/>
      <c r="C97" s="1200"/>
      <c r="D97" s="1200"/>
      <c r="E97" s="1201"/>
      <c r="F97" s="904">
        <f>SUM(F10:F71)</f>
        <v>38827.378333333341</v>
      </c>
      <c r="G97" s="905">
        <f>G10+G18+G26+G34+G71+G64+G57+G50+G42</f>
        <v>465928.54</v>
      </c>
      <c r="H97" s="874"/>
      <c r="I97" s="305"/>
      <c r="J97" s="305"/>
    </row>
    <row r="98" spans="1:10" ht="14" thickBot="1">
      <c r="A98" s="1202"/>
      <c r="B98" s="1203"/>
      <c r="C98" s="1203"/>
      <c r="D98" s="1203"/>
      <c r="E98" s="1204"/>
      <c r="F98" s="906"/>
      <c r="G98" s="907"/>
      <c r="H98" s="262"/>
      <c r="I98" s="305"/>
      <c r="J98" s="305"/>
    </row>
    <row r="99" spans="1:10">
      <c r="A99" s="908"/>
      <c r="B99" s="908"/>
      <c r="C99" s="908"/>
      <c r="D99" s="908"/>
      <c r="E99" s="908"/>
      <c r="F99" s="301"/>
      <c r="G99" s="314"/>
      <c r="H99" s="262"/>
    </row>
    <row r="100" spans="1:10" ht="14" thickBot="1">
      <c r="A100" s="908"/>
      <c r="B100" s="908"/>
      <c r="C100" s="908"/>
      <c r="D100" s="908"/>
      <c r="E100" s="908"/>
      <c r="F100" s="301"/>
      <c r="G100" s="314"/>
      <c r="H100" s="262"/>
    </row>
    <row r="101" spans="1:10" ht="14" thickBot="1">
      <c r="A101" s="909" t="s">
        <v>384</v>
      </c>
      <c r="B101" s="910">
        <v>9</v>
      </c>
      <c r="C101" s="301"/>
      <c r="D101" s="301"/>
      <c r="E101" s="301"/>
      <c r="F101" s="301"/>
      <c r="G101" s="871"/>
      <c r="H101" s="911"/>
    </row>
    <row r="102" spans="1:10">
      <c r="A102" s="912" t="s">
        <v>268</v>
      </c>
      <c r="B102" s="913" t="s">
        <v>70</v>
      </c>
      <c r="C102" s="571">
        <f>(C7+C15+C23+C31+C39+C47)/B101</f>
        <v>4961.3977777777782</v>
      </c>
      <c r="D102" s="914"/>
      <c r="E102" s="314"/>
      <c r="F102" s="314"/>
      <c r="H102" s="305"/>
    </row>
    <row r="103" spans="1:10">
      <c r="A103" s="915"/>
      <c r="B103" s="916" t="s">
        <v>116</v>
      </c>
      <c r="C103" s="571">
        <f>(C8+C16+C24+C32)/$B$101</f>
        <v>1018.8888888888891</v>
      </c>
      <c r="D103" s="914"/>
      <c r="E103" s="314"/>
      <c r="F103" s="313"/>
      <c r="G103" s="313"/>
      <c r="H103" s="305"/>
    </row>
    <row r="104" spans="1:10">
      <c r="A104" s="915"/>
      <c r="B104" s="253" t="s">
        <v>383</v>
      </c>
      <c r="C104" s="571">
        <f>(C9+C17+C25+C33+C41+C49)/$B$101</f>
        <v>0</v>
      </c>
      <c r="D104" s="914"/>
      <c r="E104" s="314"/>
      <c r="F104" s="313"/>
      <c r="G104" s="313"/>
      <c r="H104" s="305"/>
    </row>
    <row r="105" spans="1:10">
      <c r="A105" s="915" t="s">
        <v>267</v>
      </c>
      <c r="B105" s="916"/>
      <c r="C105" s="914"/>
      <c r="D105" s="554">
        <f>SUM(C102:C104)</f>
        <v>5980.2866666666669</v>
      </c>
      <c r="E105" s="314"/>
      <c r="F105" s="313"/>
      <c r="G105" s="313"/>
      <c r="H105" s="305"/>
    </row>
    <row r="106" spans="1:10">
      <c r="A106" s="917"/>
      <c r="B106" s="262"/>
      <c r="C106" s="301"/>
      <c r="D106" s="301"/>
      <c r="E106" s="314"/>
      <c r="F106" s="313"/>
      <c r="G106" s="313"/>
      <c r="H106" s="305"/>
    </row>
    <row r="107" spans="1:10">
      <c r="A107" s="917"/>
      <c r="B107" s="262"/>
      <c r="C107" s="301"/>
      <c r="D107" s="301"/>
      <c r="E107" s="262"/>
      <c r="F107" s="262"/>
      <c r="G107" s="305"/>
      <c r="H107" s="305"/>
    </row>
    <row r="108" spans="1:10">
      <c r="A108" s="917"/>
      <c r="B108" s="527"/>
      <c r="C108" s="301"/>
      <c r="D108" s="262"/>
      <c r="E108" s="301"/>
      <c r="F108" s="262"/>
      <c r="G108" s="305"/>
      <c r="H108" s="305"/>
    </row>
    <row r="109" spans="1:10" ht="16">
      <c r="A109" s="305"/>
      <c r="B109" s="305"/>
      <c r="C109" s="269"/>
      <c r="D109" s="269"/>
      <c r="E109" s="269"/>
      <c r="F109" s="918"/>
      <c r="G109" s="305"/>
      <c r="H109" s="305"/>
    </row>
    <row r="110" spans="1:10">
      <c r="A110" s="305"/>
      <c r="B110" s="305"/>
      <c r="C110" s="461"/>
      <c r="D110" s="301"/>
      <c r="E110" s="262"/>
      <c r="F110" s="301"/>
      <c r="G110" s="872"/>
      <c r="H110" s="305"/>
    </row>
    <row r="111" spans="1:10">
      <c r="A111" s="305"/>
      <c r="B111" s="305"/>
      <c r="C111" s="919"/>
      <c r="D111" s="872"/>
      <c r="E111" s="305"/>
      <c r="F111" s="301"/>
      <c r="G111" s="872"/>
      <c r="H111" s="305"/>
    </row>
    <row r="112" spans="1:10">
      <c r="A112" s="262"/>
      <c r="B112" s="305"/>
      <c r="C112" s="919"/>
      <c r="D112" s="872"/>
      <c r="E112" s="305"/>
      <c r="F112" s="301"/>
      <c r="G112" s="872"/>
      <c r="H112" s="305"/>
    </row>
    <row r="113" spans="1:7">
      <c r="A113" s="305"/>
      <c r="B113" s="305"/>
      <c r="C113" s="919"/>
      <c r="D113" s="872"/>
      <c r="E113" s="305"/>
      <c r="F113" s="872"/>
      <c r="G113" s="920"/>
    </row>
  </sheetData>
  <mergeCells count="4">
    <mergeCell ref="A1:J1"/>
    <mergeCell ref="A2:J3"/>
    <mergeCell ref="A97:E98"/>
    <mergeCell ref="A4:F4"/>
  </mergeCells>
  <phoneticPr fontId="0" type="noConversion"/>
  <printOptions horizontalCentered="1" verticalCentered="1"/>
  <pageMargins left="0.43307086614173229" right="0.27559055118110237" top="0.39370078740157483" bottom="0.39370078740157483" header="0" footer="0"/>
  <pageSetup scale="80" orientation="portrait" horizontalDpi="4294967294" verticalDpi="429496729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5"/>
  <sheetViews>
    <sheetView zoomScale="90" zoomScaleNormal="90" workbookViewId="0"/>
  </sheetViews>
  <sheetFormatPr baseColWidth="10" defaultColWidth="11" defaultRowHeight="13"/>
  <cols>
    <col min="1" max="1" width="29.1640625" style="187" customWidth="1"/>
    <col min="2" max="2" width="13" style="187" customWidth="1"/>
    <col min="3" max="3" width="17.83203125" style="187" customWidth="1"/>
    <col min="4" max="4" width="20.5" style="187" customWidth="1"/>
    <col min="5" max="5" width="17.6640625" style="187" bestFit="1" customWidth="1"/>
    <col min="6" max="6" width="17.83203125" style="187" customWidth="1"/>
    <col min="7" max="14" width="17.6640625" style="187" bestFit="1" customWidth="1"/>
    <col min="15" max="15" width="20.1640625" style="187" bestFit="1" customWidth="1"/>
    <col min="16" max="16384" width="11" style="187"/>
  </cols>
  <sheetData>
    <row r="1" spans="1:16" ht="14" thickBot="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</row>
    <row r="2" spans="1:16" ht="20" thickBot="1">
      <c r="A2" s="305"/>
      <c r="B2" s="305"/>
      <c r="C2" s="305"/>
      <c r="D2" s="305"/>
      <c r="E2" s="1206" t="s">
        <v>482</v>
      </c>
      <c r="F2" s="1207"/>
      <c r="G2" s="1207"/>
      <c r="H2" s="1207"/>
      <c r="I2" s="1208"/>
      <c r="J2" s="305"/>
      <c r="K2" s="305"/>
      <c r="L2" s="305"/>
      <c r="M2" s="305"/>
      <c r="N2" s="305"/>
      <c r="O2" s="305"/>
    </row>
    <row r="3" spans="1:16" ht="14.25" customHeight="1" thickBot="1">
      <c r="A3" s="305"/>
      <c r="B3" s="305"/>
      <c r="C3" s="305"/>
      <c r="D3" s="305"/>
      <c r="E3" s="389"/>
      <c r="F3" s="389"/>
      <c r="G3" s="389"/>
      <c r="H3" s="389"/>
      <c r="I3" s="389"/>
      <c r="J3" s="305"/>
      <c r="K3" s="305"/>
      <c r="L3" s="305"/>
      <c r="M3" s="305"/>
      <c r="N3" s="305"/>
      <c r="O3" s="305"/>
    </row>
    <row r="4" spans="1:16" ht="29" thickTop="1">
      <c r="A4" s="1214" t="s">
        <v>318</v>
      </c>
      <c r="B4" s="423" t="s">
        <v>325</v>
      </c>
      <c r="C4" s="305"/>
      <c r="D4" s="305"/>
      <c r="E4" s="305"/>
      <c r="F4" s="305" t="s">
        <v>324</v>
      </c>
      <c r="G4" s="305"/>
      <c r="H4" s="305"/>
      <c r="I4" s="305"/>
      <c r="J4" s="305"/>
      <c r="K4" s="305"/>
      <c r="L4" s="305"/>
      <c r="M4" s="305"/>
      <c r="N4" s="305"/>
      <c r="O4" s="305"/>
    </row>
    <row r="5" spans="1:16" ht="14" thickBot="1">
      <c r="A5" s="1215"/>
      <c r="B5" s="424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</row>
    <row r="6" spans="1:16" ht="14" thickTop="1">
      <c r="A6" s="1212" t="s">
        <v>417</v>
      </c>
      <c r="B6" s="922" t="s">
        <v>335</v>
      </c>
      <c r="C6" s="1210" t="s">
        <v>38</v>
      </c>
      <c r="D6" s="1210" t="s">
        <v>39</v>
      </c>
      <c r="E6" s="1210" t="s">
        <v>40</v>
      </c>
      <c r="F6" s="1210" t="s">
        <v>41</v>
      </c>
      <c r="G6" s="1210" t="s">
        <v>42</v>
      </c>
      <c r="H6" s="1210" t="s">
        <v>43</v>
      </c>
      <c r="I6" s="1210" t="s">
        <v>44</v>
      </c>
      <c r="J6" s="1210" t="s">
        <v>45</v>
      </c>
      <c r="K6" s="1210" t="s">
        <v>46</v>
      </c>
      <c r="L6" s="1210" t="s">
        <v>47</v>
      </c>
      <c r="M6" s="1210" t="s">
        <v>48</v>
      </c>
      <c r="N6" s="923" t="s">
        <v>49</v>
      </c>
      <c r="O6" s="1210" t="s">
        <v>35</v>
      </c>
    </row>
    <row r="7" spans="1:16" ht="14" thickBot="1">
      <c r="A7" s="1213"/>
      <c r="B7" s="924" t="s">
        <v>336</v>
      </c>
      <c r="C7" s="1211"/>
      <c r="D7" s="1211"/>
      <c r="E7" s="1211"/>
      <c r="F7" s="1211"/>
      <c r="G7" s="1211"/>
      <c r="H7" s="1211"/>
      <c r="I7" s="1211"/>
      <c r="J7" s="1211"/>
      <c r="K7" s="1211"/>
      <c r="L7" s="1211" t="s">
        <v>47</v>
      </c>
      <c r="M7" s="1211" t="s">
        <v>48</v>
      </c>
      <c r="N7" s="925" t="s">
        <v>49</v>
      </c>
      <c r="O7" s="1211"/>
    </row>
    <row r="8" spans="1:16" ht="14" thickTop="1">
      <c r="C8" s="926"/>
      <c r="D8" s="926"/>
      <c r="E8" s="926"/>
    </row>
    <row r="9" spans="1:16">
      <c r="A9" s="353" t="str">
        <f>'DATOS COST UNIT.'!A49</f>
        <v>Welcome party</v>
      </c>
      <c r="B9" s="353" t="s">
        <v>416</v>
      </c>
      <c r="C9" s="927">
        <f>Pres.Ventas!C31</f>
        <v>0</v>
      </c>
      <c r="D9" s="927">
        <f>Pres.Ventas!D31</f>
        <v>1</v>
      </c>
      <c r="E9" s="927">
        <f>Pres.Ventas!E31</f>
        <v>1</v>
      </c>
      <c r="F9" s="927">
        <f>Pres.Ventas!F31</f>
        <v>0</v>
      </c>
      <c r="G9" s="927">
        <f>Pres.Ventas!G31</f>
        <v>0</v>
      </c>
      <c r="H9" s="927">
        <f>Pres.Ventas!H31</f>
        <v>0</v>
      </c>
      <c r="I9" s="927">
        <f>Pres.Ventas!I31</f>
        <v>0</v>
      </c>
      <c r="J9" s="927">
        <f>Pres.Ventas!J31</f>
        <v>0</v>
      </c>
      <c r="K9" s="927">
        <f>Pres.Ventas!K31</f>
        <v>0</v>
      </c>
      <c r="L9" s="927">
        <f>Pres.Ventas!L31</f>
        <v>0</v>
      </c>
      <c r="M9" s="927">
        <f>Pres.Ventas!M31</f>
        <v>2</v>
      </c>
      <c r="N9" s="927" t="e">
        <f>Pres.Ventas!#REF!</f>
        <v>#REF!</v>
      </c>
      <c r="O9" s="927" t="e">
        <f t="shared" ref="O9:O20" si="0">SUM(C9:N9)</f>
        <v>#REF!</v>
      </c>
    </row>
    <row r="10" spans="1:16">
      <c r="A10" s="353" t="str">
        <f>'DATOS COST UNIT.'!A50</f>
        <v>Boda</v>
      </c>
      <c r="B10" s="353" t="s">
        <v>416</v>
      </c>
      <c r="C10" s="927">
        <f>Pres.Ventas!C32</f>
        <v>0</v>
      </c>
      <c r="D10" s="927">
        <f>Pres.Ventas!D32</f>
        <v>0</v>
      </c>
      <c r="E10" s="927">
        <f>Pres.Ventas!E32</f>
        <v>0</v>
      </c>
      <c r="F10" s="927">
        <f>Pres.Ventas!F32</f>
        <v>1</v>
      </c>
      <c r="G10" s="927">
        <f>Pres.Ventas!G32</f>
        <v>0</v>
      </c>
      <c r="H10" s="927">
        <f>Pres.Ventas!H32</f>
        <v>0</v>
      </c>
      <c r="I10" s="927">
        <f>Pres.Ventas!I32</f>
        <v>0</v>
      </c>
      <c r="J10" s="927">
        <f>Pres.Ventas!J32</f>
        <v>0</v>
      </c>
      <c r="K10" s="927">
        <f>Pres.Ventas!K32</f>
        <v>0</v>
      </c>
      <c r="L10" s="927">
        <f>Pres.Ventas!L32</f>
        <v>0</v>
      </c>
      <c r="M10" s="927">
        <f>Pres.Ventas!M32</f>
        <v>6</v>
      </c>
      <c r="N10" s="927">
        <f>Pres.Ventas!N31</f>
        <v>2</v>
      </c>
      <c r="O10" s="927">
        <f t="shared" si="0"/>
        <v>9</v>
      </c>
    </row>
    <row r="11" spans="1:16">
      <c r="A11" s="353" t="str">
        <f>'DATOS COST UNIT.'!A51</f>
        <v>Hora extra</v>
      </c>
      <c r="B11" s="353" t="s">
        <v>416</v>
      </c>
      <c r="C11" s="927">
        <f>Pres.Ventas!C33</f>
        <v>0</v>
      </c>
      <c r="D11" s="927">
        <f>Pres.Ventas!D33</f>
        <v>0</v>
      </c>
      <c r="E11" s="927">
        <f>Pres.Ventas!E33</f>
        <v>1</v>
      </c>
      <c r="F11" s="927">
        <f>Pres.Ventas!F33</f>
        <v>0</v>
      </c>
      <c r="G11" s="927">
        <f>Pres.Ventas!G33</f>
        <v>0</v>
      </c>
      <c r="H11" s="927">
        <f>Pres.Ventas!H33</f>
        <v>1</v>
      </c>
      <c r="I11" s="927">
        <f>Pres.Ventas!I33</f>
        <v>0</v>
      </c>
      <c r="J11" s="927">
        <f>Pres.Ventas!J33</f>
        <v>1</v>
      </c>
      <c r="K11" s="927">
        <f>Pres.Ventas!K33</f>
        <v>0</v>
      </c>
      <c r="L11" s="927">
        <f>Pres.Ventas!L33</f>
        <v>0</v>
      </c>
      <c r="M11" s="927">
        <f>Pres.Ventas!M33</f>
        <v>6</v>
      </c>
      <c r="N11" s="927">
        <f>Pres.Ventas!N32</f>
        <v>6</v>
      </c>
      <c r="O11" s="927">
        <f t="shared" si="0"/>
        <v>15</v>
      </c>
    </row>
    <row r="12" spans="1:16">
      <c r="A12" s="353" t="str">
        <f>'DATOS COST UNIT.'!A52</f>
        <v>Club</v>
      </c>
      <c r="B12" s="353" t="s">
        <v>416</v>
      </c>
      <c r="C12" s="927">
        <f>Pres.Ventas!C34</f>
        <v>0</v>
      </c>
      <c r="D12" s="927">
        <f>Pres.Ventas!D34</f>
        <v>0</v>
      </c>
      <c r="E12" s="927">
        <f>Pres.Ventas!E34</f>
        <v>0</v>
      </c>
      <c r="F12" s="927">
        <f>Pres.Ventas!F34</f>
        <v>1</v>
      </c>
      <c r="G12" s="927">
        <f>Pres.Ventas!G34</f>
        <v>0</v>
      </c>
      <c r="H12" s="927">
        <f>Pres.Ventas!H34</f>
        <v>0</v>
      </c>
      <c r="I12" s="927">
        <f>Pres.Ventas!I34</f>
        <v>1</v>
      </c>
      <c r="J12" s="927">
        <f>Pres.Ventas!J34</f>
        <v>0</v>
      </c>
      <c r="K12" s="927">
        <f>Pres.Ventas!K34</f>
        <v>1</v>
      </c>
      <c r="L12" s="927">
        <f>Pres.Ventas!L34</f>
        <v>0</v>
      </c>
      <c r="M12" s="927">
        <f>Pres.Ventas!M34</f>
        <v>1</v>
      </c>
      <c r="N12" s="927">
        <f>Pres.Ventas!N33</f>
        <v>6</v>
      </c>
      <c r="O12" s="927">
        <f t="shared" si="0"/>
        <v>10</v>
      </c>
    </row>
    <row r="13" spans="1:16">
      <c r="A13" s="353">
        <f>'DATOS COST UNIT.'!A53</f>
        <v>0</v>
      </c>
      <c r="B13" s="353" t="s">
        <v>416</v>
      </c>
      <c r="C13" s="927">
        <f>Pres.Ventas!C35</f>
        <v>0</v>
      </c>
      <c r="D13" s="927">
        <f>Pres.Ventas!D35</f>
        <v>0</v>
      </c>
      <c r="E13" s="927">
        <f>Pres.Ventas!E35</f>
        <v>0</v>
      </c>
      <c r="F13" s="927">
        <f>Pres.Ventas!F35</f>
        <v>0</v>
      </c>
      <c r="G13" s="927">
        <f>Pres.Ventas!G35</f>
        <v>0</v>
      </c>
      <c r="H13" s="927">
        <f>Pres.Ventas!H35</f>
        <v>0</v>
      </c>
      <c r="I13" s="927">
        <f>Pres.Ventas!I35</f>
        <v>0</v>
      </c>
      <c r="J13" s="927">
        <f>Pres.Ventas!J35</f>
        <v>1</v>
      </c>
      <c r="K13" s="927">
        <f>Pres.Ventas!K35</f>
        <v>0</v>
      </c>
      <c r="L13" s="927">
        <f>Pres.Ventas!L35</f>
        <v>0</v>
      </c>
      <c r="M13" s="927">
        <f>Pres.Ventas!M35</f>
        <v>0</v>
      </c>
      <c r="N13" s="927">
        <f>Pres.Ventas!N35</f>
        <v>0</v>
      </c>
      <c r="O13" s="927">
        <f t="shared" si="0"/>
        <v>1</v>
      </c>
    </row>
    <row r="14" spans="1:16">
      <c r="A14" s="353">
        <f>'DATOS COST UNIT.'!A54</f>
        <v>0</v>
      </c>
      <c r="B14" s="353" t="s">
        <v>416</v>
      </c>
      <c r="C14" s="927">
        <f>Pres.Ventas!C36</f>
        <v>0</v>
      </c>
      <c r="D14" s="927">
        <f>Pres.Ventas!D36</f>
        <v>0</v>
      </c>
      <c r="E14" s="927">
        <f>Pres.Ventas!E36</f>
        <v>0</v>
      </c>
      <c r="F14" s="927">
        <f>Pres.Ventas!F36</f>
        <v>0</v>
      </c>
      <c r="G14" s="927">
        <f>Pres.Ventas!G36</f>
        <v>0</v>
      </c>
      <c r="H14" s="927">
        <f>Pres.Ventas!H36</f>
        <v>0</v>
      </c>
      <c r="I14" s="927">
        <f>Pres.Ventas!I36</f>
        <v>0</v>
      </c>
      <c r="J14" s="927">
        <f>Pres.Ventas!J36</f>
        <v>0</v>
      </c>
      <c r="K14" s="927">
        <f>Pres.Ventas!K36</f>
        <v>0</v>
      </c>
      <c r="L14" s="927">
        <f>Pres.Ventas!L36</f>
        <v>0</v>
      </c>
      <c r="M14" s="927">
        <f>Pres.Ventas!M36</f>
        <v>0</v>
      </c>
      <c r="N14" s="927">
        <f>Pres.Ventas!N36</f>
        <v>0</v>
      </c>
      <c r="O14" s="927">
        <f t="shared" si="0"/>
        <v>0</v>
      </c>
    </row>
    <row r="15" spans="1:16">
      <c r="A15" s="353">
        <f>'DATOS COST UNIT.'!A55</f>
        <v>0</v>
      </c>
      <c r="B15" s="353" t="s">
        <v>416</v>
      </c>
      <c r="C15" s="927">
        <f>Pres.Ventas!C37</f>
        <v>0</v>
      </c>
      <c r="D15" s="927">
        <f>Pres.Ventas!D37</f>
        <v>0</v>
      </c>
      <c r="E15" s="927">
        <f>Pres.Ventas!E37</f>
        <v>0</v>
      </c>
      <c r="F15" s="927">
        <f>Pres.Ventas!F37</f>
        <v>0</v>
      </c>
      <c r="G15" s="927">
        <f>Pres.Ventas!G37</f>
        <v>0</v>
      </c>
      <c r="H15" s="927">
        <f>Pres.Ventas!H37</f>
        <v>0</v>
      </c>
      <c r="I15" s="927">
        <f>Pres.Ventas!I37</f>
        <v>0</v>
      </c>
      <c r="J15" s="927">
        <f>Pres.Ventas!J37</f>
        <v>0</v>
      </c>
      <c r="K15" s="927">
        <f>Pres.Ventas!K37</f>
        <v>0</v>
      </c>
      <c r="L15" s="927">
        <f>Pres.Ventas!L37</f>
        <v>1</v>
      </c>
      <c r="M15" s="927">
        <f>Pres.Ventas!M37</f>
        <v>0</v>
      </c>
      <c r="N15" s="927">
        <f>Pres.Ventas!N37</f>
        <v>0</v>
      </c>
      <c r="O15" s="927">
        <f t="shared" si="0"/>
        <v>1</v>
      </c>
    </row>
    <row r="16" spans="1:16">
      <c r="A16" s="353">
        <f>'DATOS COST UNIT.'!A56</f>
        <v>0</v>
      </c>
      <c r="B16" s="353" t="s">
        <v>416</v>
      </c>
      <c r="C16" s="927">
        <f>Pres.Ventas!C38</f>
        <v>0</v>
      </c>
      <c r="D16" s="927">
        <f>Pres.Ventas!D38</f>
        <v>0</v>
      </c>
      <c r="E16" s="927">
        <f>Pres.Ventas!E38</f>
        <v>0</v>
      </c>
      <c r="F16" s="927">
        <f>Pres.Ventas!F38</f>
        <v>0</v>
      </c>
      <c r="G16" s="927">
        <f>Pres.Ventas!G38</f>
        <v>1</v>
      </c>
      <c r="H16" s="927">
        <f>Pres.Ventas!H38</f>
        <v>0</v>
      </c>
      <c r="I16" s="927">
        <f>Pres.Ventas!I38</f>
        <v>0</v>
      </c>
      <c r="J16" s="927">
        <f>Pres.Ventas!J38</f>
        <v>0</v>
      </c>
      <c r="K16" s="927">
        <f>Pres.Ventas!K38</f>
        <v>0</v>
      </c>
      <c r="L16" s="927">
        <f>Pres.Ventas!L38</f>
        <v>0</v>
      </c>
      <c r="M16" s="927">
        <f>Pres.Ventas!M38</f>
        <v>0</v>
      </c>
      <c r="N16" s="927">
        <f>Pres.Ventas!N38</f>
        <v>0</v>
      </c>
      <c r="O16" s="927">
        <f t="shared" si="0"/>
        <v>1</v>
      </c>
    </row>
    <row r="17" spans="1:15">
      <c r="A17" s="353">
        <f>'DATOS COST UNIT.'!A57</f>
        <v>0</v>
      </c>
      <c r="B17" s="353" t="s">
        <v>416</v>
      </c>
      <c r="C17" s="927">
        <f>Pres.Ventas!C39</f>
        <v>0</v>
      </c>
      <c r="D17" s="927">
        <f>Pres.Ventas!D39</f>
        <v>0</v>
      </c>
      <c r="E17" s="927">
        <f>Pres.Ventas!E39</f>
        <v>0</v>
      </c>
      <c r="F17" s="927">
        <f>Pres.Ventas!F39</f>
        <v>0</v>
      </c>
      <c r="G17" s="927">
        <f>Pres.Ventas!G39</f>
        <v>0</v>
      </c>
      <c r="H17" s="927">
        <f>Pres.Ventas!H39</f>
        <v>0</v>
      </c>
      <c r="I17" s="927">
        <f>Pres.Ventas!I39</f>
        <v>0</v>
      </c>
      <c r="J17" s="927">
        <f>Pres.Ventas!J39</f>
        <v>0</v>
      </c>
      <c r="K17" s="927">
        <f>Pres.Ventas!K39</f>
        <v>0</v>
      </c>
      <c r="L17" s="927">
        <f>Pres.Ventas!L39</f>
        <v>0</v>
      </c>
      <c r="M17" s="927">
        <f>Pres.Ventas!M39</f>
        <v>0</v>
      </c>
      <c r="N17" s="927">
        <f>Pres.Ventas!N39</f>
        <v>0</v>
      </c>
      <c r="O17" s="927">
        <f t="shared" si="0"/>
        <v>0</v>
      </c>
    </row>
    <row r="18" spans="1:15">
      <c r="A18" s="353">
        <f>'DATOS COST UNIT.'!A58</f>
        <v>0</v>
      </c>
      <c r="B18" s="353" t="s">
        <v>416</v>
      </c>
      <c r="C18" s="927">
        <f>Pres.Ventas!C40</f>
        <v>0</v>
      </c>
      <c r="D18" s="927">
        <f>Pres.Ventas!D40</f>
        <v>0</v>
      </c>
      <c r="E18" s="927">
        <f>Pres.Ventas!E40</f>
        <v>0</v>
      </c>
      <c r="F18" s="927">
        <f>Pres.Ventas!F40</f>
        <v>0</v>
      </c>
      <c r="G18" s="927">
        <f>Pres.Ventas!G40</f>
        <v>0</v>
      </c>
      <c r="H18" s="927">
        <f>Pres.Ventas!H40</f>
        <v>0</v>
      </c>
      <c r="I18" s="927">
        <f>Pres.Ventas!I40</f>
        <v>0</v>
      </c>
      <c r="J18" s="927">
        <f>Pres.Ventas!J40</f>
        <v>0</v>
      </c>
      <c r="K18" s="927">
        <f>Pres.Ventas!K40</f>
        <v>0</v>
      </c>
      <c r="L18" s="927">
        <f>Pres.Ventas!L40</f>
        <v>0</v>
      </c>
      <c r="M18" s="927">
        <f>Pres.Ventas!M40</f>
        <v>0</v>
      </c>
      <c r="N18" s="927">
        <f>Pres.Ventas!N40</f>
        <v>0</v>
      </c>
      <c r="O18" s="927">
        <f t="shared" si="0"/>
        <v>0</v>
      </c>
    </row>
    <row r="19" spans="1:15">
      <c r="A19" s="353">
        <f>'DATOS COST UNIT.'!A59</f>
        <v>0</v>
      </c>
      <c r="B19" s="353" t="s">
        <v>416</v>
      </c>
      <c r="C19" s="927">
        <f>Pres.Ventas!C41</f>
        <v>0</v>
      </c>
      <c r="D19" s="927">
        <f>Pres.Ventas!D41</f>
        <v>0</v>
      </c>
      <c r="E19" s="927">
        <f>Pres.Ventas!E41</f>
        <v>0</v>
      </c>
      <c r="F19" s="927">
        <f>Pres.Ventas!F41</f>
        <v>0</v>
      </c>
      <c r="G19" s="927">
        <f>Pres.Ventas!G41</f>
        <v>0</v>
      </c>
      <c r="H19" s="927">
        <f>Pres.Ventas!H41</f>
        <v>0</v>
      </c>
      <c r="I19" s="927">
        <f>Pres.Ventas!I41</f>
        <v>0</v>
      </c>
      <c r="J19" s="927">
        <f>Pres.Ventas!J41</f>
        <v>0</v>
      </c>
      <c r="K19" s="927">
        <f>Pres.Ventas!K41</f>
        <v>0</v>
      </c>
      <c r="L19" s="927">
        <f>Pres.Ventas!L41</f>
        <v>0</v>
      </c>
      <c r="M19" s="927">
        <f>Pres.Ventas!M41</f>
        <v>0</v>
      </c>
      <c r="N19" s="927">
        <f>Pres.Ventas!N41</f>
        <v>0</v>
      </c>
      <c r="O19" s="927">
        <f t="shared" si="0"/>
        <v>0</v>
      </c>
    </row>
    <row r="20" spans="1:15">
      <c r="A20" s="353">
        <f>'DATOS COST UNIT.'!A60</f>
        <v>0</v>
      </c>
      <c r="B20" s="353" t="s">
        <v>416</v>
      </c>
      <c r="C20" s="927">
        <f>Pres.Ventas!C42</f>
        <v>0</v>
      </c>
      <c r="D20" s="927">
        <f>Pres.Ventas!D42</f>
        <v>0</v>
      </c>
      <c r="E20" s="927">
        <f>Pres.Ventas!E42</f>
        <v>0</v>
      </c>
      <c r="F20" s="927">
        <f>Pres.Ventas!F42</f>
        <v>0</v>
      </c>
      <c r="G20" s="927">
        <f>Pres.Ventas!G42</f>
        <v>0</v>
      </c>
      <c r="H20" s="927">
        <f>Pres.Ventas!H42</f>
        <v>0</v>
      </c>
      <c r="I20" s="927">
        <f>Pres.Ventas!I42</f>
        <v>0</v>
      </c>
      <c r="J20" s="927">
        <f>Pres.Ventas!J42</f>
        <v>0</v>
      </c>
      <c r="K20" s="927">
        <f>Pres.Ventas!K42</f>
        <v>0</v>
      </c>
      <c r="L20" s="927">
        <f>Pres.Ventas!L42</f>
        <v>0</v>
      </c>
      <c r="M20" s="927">
        <f>Pres.Ventas!M42</f>
        <v>0</v>
      </c>
      <c r="N20" s="927">
        <f>Pres.Ventas!N42</f>
        <v>0</v>
      </c>
      <c r="O20" s="927">
        <f t="shared" si="0"/>
        <v>0</v>
      </c>
    </row>
    <row r="21" spans="1:15">
      <c r="A21" s="928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</row>
    <row r="22" spans="1:15" ht="14" thickBot="1">
      <c r="A22" s="928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</row>
    <row r="23" spans="1:15" ht="20" thickBot="1">
      <c r="A23" s="305"/>
      <c r="B23" s="305"/>
      <c r="C23" s="305"/>
      <c r="D23" s="305"/>
      <c r="E23" s="1206" t="s">
        <v>483</v>
      </c>
      <c r="F23" s="1207"/>
      <c r="G23" s="1207"/>
      <c r="H23" s="1207"/>
      <c r="I23" s="1208"/>
      <c r="J23" s="305"/>
      <c r="K23" s="305"/>
      <c r="L23" s="305"/>
      <c r="M23" s="305"/>
      <c r="N23" s="305"/>
      <c r="O23" s="305"/>
    </row>
    <row r="24" spans="1:15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</row>
    <row r="25" spans="1:15">
      <c r="A25" s="305"/>
      <c r="B25" s="305"/>
      <c r="C25" s="305"/>
      <c r="D25" s="305"/>
      <c r="E25" s="305"/>
      <c r="F25" s="1209" t="s">
        <v>326</v>
      </c>
      <c r="G25" s="1209"/>
      <c r="H25" s="1209"/>
      <c r="I25" s="1209"/>
      <c r="J25" s="305"/>
      <c r="K25" s="305"/>
      <c r="L25" s="305"/>
      <c r="M25" s="305"/>
      <c r="N25" s="305"/>
      <c r="O25" s="305"/>
    </row>
    <row r="26" spans="1:15" ht="14" thickBot="1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</row>
    <row r="27" spans="1:15" ht="14" thickTop="1">
      <c r="A27" s="1212" t="str">
        <f>A6</f>
        <v>PRODUCTOS</v>
      </c>
      <c r="B27" s="1210" t="s">
        <v>420</v>
      </c>
      <c r="C27" s="1210" t="s">
        <v>38</v>
      </c>
      <c r="D27" s="1210" t="s">
        <v>39</v>
      </c>
      <c r="E27" s="1210" t="s">
        <v>40</v>
      </c>
      <c r="F27" s="1210" t="s">
        <v>41</v>
      </c>
      <c r="G27" s="1210" t="s">
        <v>42</v>
      </c>
      <c r="H27" s="1210" t="s">
        <v>43</v>
      </c>
      <c r="I27" s="1210" t="s">
        <v>44</v>
      </c>
      <c r="J27" s="1210" t="s">
        <v>45</v>
      </c>
      <c r="K27" s="1210" t="s">
        <v>46</v>
      </c>
      <c r="L27" s="1210" t="s">
        <v>47</v>
      </c>
      <c r="M27" s="1210" t="s">
        <v>48</v>
      </c>
      <c r="N27" s="1210" t="s">
        <v>49</v>
      </c>
      <c r="O27" s="1210" t="s">
        <v>35</v>
      </c>
    </row>
    <row r="28" spans="1:15" ht="14" thickBot="1">
      <c r="A28" s="1217"/>
      <c r="B28" s="1211"/>
      <c r="C28" s="1216"/>
      <c r="D28" s="1216" t="s">
        <v>39</v>
      </c>
      <c r="E28" s="1216" t="s">
        <v>40</v>
      </c>
      <c r="F28" s="1216" t="s">
        <v>41</v>
      </c>
      <c r="G28" s="1216" t="s">
        <v>42</v>
      </c>
      <c r="H28" s="1216" t="s">
        <v>43</v>
      </c>
      <c r="I28" s="1216" t="s">
        <v>44</v>
      </c>
      <c r="J28" s="1216" t="s">
        <v>45</v>
      </c>
      <c r="K28" s="1216" t="s">
        <v>46</v>
      </c>
      <c r="L28" s="1216" t="s">
        <v>47</v>
      </c>
      <c r="M28" s="1216" t="s">
        <v>48</v>
      </c>
      <c r="N28" s="1216" t="s">
        <v>49</v>
      </c>
      <c r="O28" s="1216"/>
    </row>
    <row r="29" spans="1:15" ht="14" thickTop="1"/>
    <row r="30" spans="1:15" ht="14">
      <c r="A30" s="939" t="str">
        <f>A9</f>
        <v>Welcome party</v>
      </c>
      <c r="B30" s="940">
        <f>'DATOS COST UNIT.'!K49</f>
        <v>6750</v>
      </c>
      <c r="C30" s="929">
        <f t="shared" ref="C30:N30" si="1">C9*$B30</f>
        <v>0</v>
      </c>
      <c r="D30" s="929">
        <f t="shared" si="1"/>
        <v>6750</v>
      </c>
      <c r="E30" s="929">
        <f t="shared" si="1"/>
        <v>6750</v>
      </c>
      <c r="F30" s="929">
        <f t="shared" si="1"/>
        <v>0</v>
      </c>
      <c r="G30" s="929">
        <f t="shared" si="1"/>
        <v>0</v>
      </c>
      <c r="H30" s="929">
        <f t="shared" si="1"/>
        <v>0</v>
      </c>
      <c r="I30" s="929">
        <f t="shared" si="1"/>
        <v>0</v>
      </c>
      <c r="J30" s="929">
        <f t="shared" si="1"/>
        <v>0</v>
      </c>
      <c r="K30" s="929">
        <f t="shared" si="1"/>
        <v>0</v>
      </c>
      <c r="L30" s="929">
        <f t="shared" si="1"/>
        <v>0</v>
      </c>
      <c r="M30" s="929">
        <f t="shared" si="1"/>
        <v>13500</v>
      </c>
      <c r="N30" s="929" t="e">
        <f t="shared" si="1"/>
        <v>#REF!</v>
      </c>
      <c r="O30" s="929" t="e">
        <f t="shared" ref="O30:O42" si="2">SUM(C30:N30)</f>
        <v>#REF!</v>
      </c>
    </row>
    <row r="31" spans="1:15" ht="14">
      <c r="A31" s="939" t="str">
        <f t="shared" ref="A31:A41" si="3">A10</f>
        <v>Boda</v>
      </c>
      <c r="B31" s="940">
        <f>'DATOS COST UNIT.'!K50</f>
        <v>12000</v>
      </c>
      <c r="C31" s="929">
        <f t="shared" ref="C31:N31" si="4">C10*$B31</f>
        <v>0</v>
      </c>
      <c r="D31" s="929">
        <f t="shared" si="4"/>
        <v>0</v>
      </c>
      <c r="E31" s="929">
        <f t="shared" si="4"/>
        <v>0</v>
      </c>
      <c r="F31" s="929">
        <f t="shared" si="4"/>
        <v>12000</v>
      </c>
      <c r="G31" s="929">
        <f t="shared" si="4"/>
        <v>0</v>
      </c>
      <c r="H31" s="929">
        <f t="shared" si="4"/>
        <v>0</v>
      </c>
      <c r="I31" s="929">
        <f t="shared" si="4"/>
        <v>0</v>
      </c>
      <c r="J31" s="929">
        <f t="shared" si="4"/>
        <v>0</v>
      </c>
      <c r="K31" s="929">
        <f t="shared" si="4"/>
        <v>0</v>
      </c>
      <c r="L31" s="929">
        <f t="shared" si="4"/>
        <v>0</v>
      </c>
      <c r="M31" s="929">
        <f t="shared" si="4"/>
        <v>72000</v>
      </c>
      <c r="N31" s="929">
        <f t="shared" si="4"/>
        <v>24000</v>
      </c>
      <c r="O31" s="929">
        <f t="shared" si="2"/>
        <v>108000</v>
      </c>
    </row>
    <row r="32" spans="1:15" ht="14">
      <c r="A32" s="939" t="str">
        <f t="shared" si="3"/>
        <v>Hora extra</v>
      </c>
      <c r="B32" s="940">
        <f>'DATOS COST UNIT.'!K51</f>
        <v>7420</v>
      </c>
      <c r="C32" s="929">
        <f t="shared" ref="C32:N32" si="5">C11*$B32</f>
        <v>0</v>
      </c>
      <c r="D32" s="929">
        <f t="shared" si="5"/>
        <v>0</v>
      </c>
      <c r="E32" s="929">
        <f t="shared" si="5"/>
        <v>7420</v>
      </c>
      <c r="F32" s="929">
        <f t="shared" si="5"/>
        <v>0</v>
      </c>
      <c r="G32" s="929">
        <f t="shared" si="5"/>
        <v>0</v>
      </c>
      <c r="H32" s="929">
        <f t="shared" si="5"/>
        <v>7420</v>
      </c>
      <c r="I32" s="929">
        <f t="shared" si="5"/>
        <v>0</v>
      </c>
      <c r="J32" s="929">
        <f t="shared" si="5"/>
        <v>7420</v>
      </c>
      <c r="K32" s="929">
        <f t="shared" si="5"/>
        <v>0</v>
      </c>
      <c r="L32" s="929">
        <f t="shared" si="5"/>
        <v>0</v>
      </c>
      <c r="M32" s="929">
        <f t="shared" si="5"/>
        <v>44520</v>
      </c>
      <c r="N32" s="929">
        <f t="shared" si="5"/>
        <v>44520</v>
      </c>
      <c r="O32" s="929">
        <f t="shared" si="2"/>
        <v>111300</v>
      </c>
    </row>
    <row r="33" spans="1:15" ht="14">
      <c r="A33" s="939" t="str">
        <f t="shared" si="3"/>
        <v>Club</v>
      </c>
      <c r="B33" s="940">
        <f>'DATOS COST UNIT.'!K52</f>
        <v>10105</v>
      </c>
      <c r="C33" s="929">
        <f t="shared" ref="C33:N33" si="6">C12*$B33</f>
        <v>0</v>
      </c>
      <c r="D33" s="929">
        <f t="shared" si="6"/>
        <v>0</v>
      </c>
      <c r="E33" s="929">
        <f t="shared" si="6"/>
        <v>0</v>
      </c>
      <c r="F33" s="929">
        <f t="shared" si="6"/>
        <v>10105</v>
      </c>
      <c r="G33" s="929">
        <f t="shared" si="6"/>
        <v>0</v>
      </c>
      <c r="H33" s="929">
        <f t="shared" si="6"/>
        <v>0</v>
      </c>
      <c r="I33" s="929">
        <f t="shared" si="6"/>
        <v>10105</v>
      </c>
      <c r="J33" s="929">
        <f t="shared" si="6"/>
        <v>0</v>
      </c>
      <c r="K33" s="929">
        <f t="shared" si="6"/>
        <v>10105</v>
      </c>
      <c r="L33" s="929">
        <f t="shared" si="6"/>
        <v>0</v>
      </c>
      <c r="M33" s="929">
        <f t="shared" si="6"/>
        <v>10105</v>
      </c>
      <c r="N33" s="929">
        <f t="shared" si="6"/>
        <v>60630</v>
      </c>
      <c r="O33" s="929">
        <f t="shared" si="2"/>
        <v>101050</v>
      </c>
    </row>
    <row r="34" spans="1:15" ht="14">
      <c r="A34" s="939">
        <f t="shared" si="3"/>
        <v>0</v>
      </c>
      <c r="B34" s="940">
        <f>'DATOS COST UNIT.'!K53</f>
        <v>10000</v>
      </c>
      <c r="C34" s="929">
        <f t="shared" ref="C34:N34" si="7">C13*$B34</f>
        <v>0</v>
      </c>
      <c r="D34" s="929">
        <f t="shared" si="7"/>
        <v>0</v>
      </c>
      <c r="E34" s="929">
        <f t="shared" si="7"/>
        <v>0</v>
      </c>
      <c r="F34" s="929">
        <f t="shared" si="7"/>
        <v>0</v>
      </c>
      <c r="G34" s="929">
        <f t="shared" si="7"/>
        <v>0</v>
      </c>
      <c r="H34" s="929">
        <f t="shared" si="7"/>
        <v>0</v>
      </c>
      <c r="I34" s="929">
        <f t="shared" si="7"/>
        <v>0</v>
      </c>
      <c r="J34" s="929">
        <f t="shared" si="7"/>
        <v>10000</v>
      </c>
      <c r="K34" s="929">
        <f t="shared" si="7"/>
        <v>0</v>
      </c>
      <c r="L34" s="929">
        <f t="shared" si="7"/>
        <v>0</v>
      </c>
      <c r="M34" s="929">
        <f t="shared" si="7"/>
        <v>0</v>
      </c>
      <c r="N34" s="929">
        <f t="shared" si="7"/>
        <v>0</v>
      </c>
      <c r="O34" s="929">
        <f t="shared" si="2"/>
        <v>10000</v>
      </c>
    </row>
    <row r="35" spans="1:15" ht="14">
      <c r="A35" s="939">
        <f t="shared" si="3"/>
        <v>0</v>
      </c>
      <c r="B35" s="940">
        <f>'DATOS COST UNIT.'!K54</f>
        <v>10000</v>
      </c>
      <c r="C35" s="929">
        <f t="shared" ref="C35:N35" si="8">C14*$B35</f>
        <v>0</v>
      </c>
      <c r="D35" s="929">
        <f t="shared" si="8"/>
        <v>0</v>
      </c>
      <c r="E35" s="929">
        <f t="shared" si="8"/>
        <v>0</v>
      </c>
      <c r="F35" s="929">
        <f t="shared" si="8"/>
        <v>0</v>
      </c>
      <c r="G35" s="929">
        <f t="shared" si="8"/>
        <v>0</v>
      </c>
      <c r="H35" s="929">
        <f t="shared" si="8"/>
        <v>0</v>
      </c>
      <c r="I35" s="929">
        <f t="shared" si="8"/>
        <v>0</v>
      </c>
      <c r="J35" s="929">
        <f t="shared" si="8"/>
        <v>0</v>
      </c>
      <c r="K35" s="929">
        <f t="shared" si="8"/>
        <v>0</v>
      </c>
      <c r="L35" s="929">
        <f t="shared" si="8"/>
        <v>0</v>
      </c>
      <c r="M35" s="929">
        <f t="shared" si="8"/>
        <v>0</v>
      </c>
      <c r="N35" s="929">
        <f t="shared" si="8"/>
        <v>0</v>
      </c>
      <c r="O35" s="929">
        <f t="shared" si="2"/>
        <v>0</v>
      </c>
    </row>
    <row r="36" spans="1:15" ht="14">
      <c r="A36" s="939">
        <f t="shared" si="3"/>
        <v>0</v>
      </c>
      <c r="B36" s="940">
        <f>'DATOS COST UNIT.'!K55</f>
        <v>10000</v>
      </c>
      <c r="C36" s="929">
        <f t="shared" ref="C36:N36" si="9">C15*$B36</f>
        <v>0</v>
      </c>
      <c r="D36" s="929">
        <f t="shared" si="9"/>
        <v>0</v>
      </c>
      <c r="E36" s="929">
        <f t="shared" si="9"/>
        <v>0</v>
      </c>
      <c r="F36" s="929">
        <f t="shared" si="9"/>
        <v>0</v>
      </c>
      <c r="G36" s="929">
        <f t="shared" si="9"/>
        <v>0</v>
      </c>
      <c r="H36" s="929">
        <f t="shared" si="9"/>
        <v>0</v>
      </c>
      <c r="I36" s="929">
        <f t="shared" si="9"/>
        <v>0</v>
      </c>
      <c r="J36" s="929">
        <f t="shared" si="9"/>
        <v>0</v>
      </c>
      <c r="K36" s="929">
        <f t="shared" si="9"/>
        <v>0</v>
      </c>
      <c r="L36" s="929">
        <f t="shared" si="9"/>
        <v>10000</v>
      </c>
      <c r="M36" s="929">
        <f t="shared" si="9"/>
        <v>0</v>
      </c>
      <c r="N36" s="929">
        <f t="shared" si="9"/>
        <v>0</v>
      </c>
      <c r="O36" s="929">
        <f t="shared" si="2"/>
        <v>10000</v>
      </c>
    </row>
    <row r="37" spans="1:15" ht="14">
      <c r="A37" s="939">
        <f t="shared" si="3"/>
        <v>0</v>
      </c>
      <c r="B37" s="940">
        <f>'DATOS COST UNIT.'!K56</f>
        <v>1000</v>
      </c>
      <c r="C37" s="929">
        <f t="shared" ref="C37:N37" si="10">C16*$B37</f>
        <v>0</v>
      </c>
      <c r="D37" s="929">
        <f t="shared" si="10"/>
        <v>0</v>
      </c>
      <c r="E37" s="929">
        <f t="shared" si="10"/>
        <v>0</v>
      </c>
      <c r="F37" s="929">
        <f t="shared" si="10"/>
        <v>0</v>
      </c>
      <c r="G37" s="929">
        <f t="shared" si="10"/>
        <v>1000</v>
      </c>
      <c r="H37" s="929">
        <f t="shared" si="10"/>
        <v>0</v>
      </c>
      <c r="I37" s="929">
        <f t="shared" si="10"/>
        <v>0</v>
      </c>
      <c r="J37" s="929">
        <f t="shared" si="10"/>
        <v>0</v>
      </c>
      <c r="K37" s="929">
        <f t="shared" si="10"/>
        <v>0</v>
      </c>
      <c r="L37" s="929">
        <f t="shared" si="10"/>
        <v>0</v>
      </c>
      <c r="M37" s="929">
        <f t="shared" si="10"/>
        <v>0</v>
      </c>
      <c r="N37" s="929">
        <f t="shared" si="10"/>
        <v>0</v>
      </c>
      <c r="O37" s="929">
        <f t="shared" si="2"/>
        <v>1000</v>
      </c>
    </row>
    <row r="38" spans="1:15">
      <c r="A38" s="939">
        <f t="shared" si="3"/>
        <v>0</v>
      </c>
      <c r="B38" s="940">
        <f>'DATOS COST UNIT.'!K57</f>
        <v>0</v>
      </c>
      <c r="C38" s="929">
        <f t="shared" ref="C38:N38" si="11">C17*$B38</f>
        <v>0</v>
      </c>
      <c r="D38" s="929">
        <f t="shared" si="11"/>
        <v>0</v>
      </c>
      <c r="E38" s="929">
        <f t="shared" si="11"/>
        <v>0</v>
      </c>
      <c r="F38" s="929">
        <f t="shared" si="11"/>
        <v>0</v>
      </c>
      <c r="G38" s="929">
        <f t="shared" si="11"/>
        <v>0</v>
      </c>
      <c r="H38" s="929">
        <f t="shared" si="11"/>
        <v>0</v>
      </c>
      <c r="I38" s="929">
        <f t="shared" si="11"/>
        <v>0</v>
      </c>
      <c r="J38" s="929">
        <f t="shared" si="11"/>
        <v>0</v>
      </c>
      <c r="K38" s="929">
        <f t="shared" si="11"/>
        <v>0</v>
      </c>
      <c r="L38" s="929">
        <f t="shared" si="11"/>
        <v>0</v>
      </c>
      <c r="M38" s="929">
        <f t="shared" si="11"/>
        <v>0</v>
      </c>
      <c r="N38" s="929">
        <f t="shared" si="11"/>
        <v>0</v>
      </c>
      <c r="O38" s="929">
        <f t="shared" si="2"/>
        <v>0</v>
      </c>
    </row>
    <row r="39" spans="1:15">
      <c r="A39" s="939">
        <f t="shared" si="3"/>
        <v>0</v>
      </c>
      <c r="B39" s="940">
        <f>'DATOS COST UNIT.'!K58</f>
        <v>0</v>
      </c>
      <c r="C39" s="929">
        <f t="shared" ref="C39:N39" si="12">C18*$B39</f>
        <v>0</v>
      </c>
      <c r="D39" s="929">
        <f t="shared" si="12"/>
        <v>0</v>
      </c>
      <c r="E39" s="929">
        <f t="shared" si="12"/>
        <v>0</v>
      </c>
      <c r="F39" s="929">
        <f t="shared" si="12"/>
        <v>0</v>
      </c>
      <c r="G39" s="929">
        <f t="shared" si="12"/>
        <v>0</v>
      </c>
      <c r="H39" s="929">
        <f t="shared" si="12"/>
        <v>0</v>
      </c>
      <c r="I39" s="929">
        <f t="shared" si="12"/>
        <v>0</v>
      </c>
      <c r="J39" s="929">
        <f t="shared" si="12"/>
        <v>0</v>
      </c>
      <c r="K39" s="929">
        <f t="shared" si="12"/>
        <v>0</v>
      </c>
      <c r="L39" s="929">
        <f t="shared" si="12"/>
        <v>0</v>
      </c>
      <c r="M39" s="929">
        <f t="shared" si="12"/>
        <v>0</v>
      </c>
      <c r="N39" s="929">
        <f t="shared" si="12"/>
        <v>0</v>
      </c>
      <c r="O39" s="929">
        <f t="shared" si="2"/>
        <v>0</v>
      </c>
    </row>
    <row r="40" spans="1:15">
      <c r="A40" s="939">
        <f t="shared" si="3"/>
        <v>0</v>
      </c>
      <c r="B40" s="940">
        <f>'DATOS COST UNIT.'!K59</f>
        <v>0</v>
      </c>
      <c r="C40" s="929">
        <f t="shared" ref="C40:N40" si="13">C19*$B40</f>
        <v>0</v>
      </c>
      <c r="D40" s="929">
        <f t="shared" si="13"/>
        <v>0</v>
      </c>
      <c r="E40" s="929">
        <f t="shared" si="13"/>
        <v>0</v>
      </c>
      <c r="F40" s="929">
        <f t="shared" si="13"/>
        <v>0</v>
      </c>
      <c r="G40" s="929">
        <f t="shared" si="13"/>
        <v>0</v>
      </c>
      <c r="H40" s="929">
        <f t="shared" si="13"/>
        <v>0</v>
      </c>
      <c r="I40" s="929">
        <f t="shared" si="13"/>
        <v>0</v>
      </c>
      <c r="J40" s="929">
        <f t="shared" si="13"/>
        <v>0</v>
      </c>
      <c r="K40" s="929">
        <f t="shared" si="13"/>
        <v>0</v>
      </c>
      <c r="L40" s="929">
        <f t="shared" si="13"/>
        <v>0</v>
      </c>
      <c r="M40" s="929">
        <f t="shared" si="13"/>
        <v>0</v>
      </c>
      <c r="N40" s="929">
        <f t="shared" si="13"/>
        <v>0</v>
      </c>
      <c r="O40" s="929">
        <f t="shared" si="2"/>
        <v>0</v>
      </c>
    </row>
    <row r="41" spans="1:15" ht="14" thickBot="1">
      <c r="A41" s="939">
        <f t="shared" si="3"/>
        <v>0</v>
      </c>
      <c r="B41" s="940">
        <f>'DATOS COST UNIT.'!K60</f>
        <v>0</v>
      </c>
      <c r="C41" s="929">
        <f t="shared" ref="C41:N41" si="14">C20*$B41</f>
        <v>0</v>
      </c>
      <c r="D41" s="929">
        <f t="shared" si="14"/>
        <v>0</v>
      </c>
      <c r="E41" s="929">
        <f t="shared" si="14"/>
        <v>0</v>
      </c>
      <c r="F41" s="929">
        <f t="shared" si="14"/>
        <v>0</v>
      </c>
      <c r="G41" s="929">
        <f t="shared" si="14"/>
        <v>0</v>
      </c>
      <c r="H41" s="929">
        <f t="shared" si="14"/>
        <v>0</v>
      </c>
      <c r="I41" s="929">
        <f t="shared" si="14"/>
        <v>0</v>
      </c>
      <c r="J41" s="929">
        <f t="shared" si="14"/>
        <v>0</v>
      </c>
      <c r="K41" s="929">
        <f t="shared" si="14"/>
        <v>0</v>
      </c>
      <c r="L41" s="929">
        <f t="shared" si="14"/>
        <v>0</v>
      </c>
      <c r="M41" s="929">
        <f t="shared" si="14"/>
        <v>0</v>
      </c>
      <c r="N41" s="929">
        <f t="shared" si="14"/>
        <v>0</v>
      </c>
      <c r="O41" s="929">
        <f t="shared" si="2"/>
        <v>0</v>
      </c>
    </row>
    <row r="42" spans="1:15" ht="28.5" customHeight="1" thickBot="1">
      <c r="A42" s="930" t="s">
        <v>415</v>
      </c>
      <c r="B42" s="931"/>
      <c r="C42" s="516">
        <f>SUM(C30:C41)</f>
        <v>0</v>
      </c>
      <c r="D42" s="516">
        <f t="shared" ref="D42:N42" si="15">SUM(D30:D41)</f>
        <v>6750</v>
      </c>
      <c r="E42" s="516">
        <f t="shared" si="15"/>
        <v>14170</v>
      </c>
      <c r="F42" s="516">
        <f t="shared" si="15"/>
        <v>22105</v>
      </c>
      <c r="G42" s="516">
        <f t="shared" si="15"/>
        <v>1000</v>
      </c>
      <c r="H42" s="516">
        <f t="shared" si="15"/>
        <v>7420</v>
      </c>
      <c r="I42" s="516">
        <f t="shared" si="15"/>
        <v>10105</v>
      </c>
      <c r="J42" s="516">
        <f t="shared" si="15"/>
        <v>17420</v>
      </c>
      <c r="K42" s="516">
        <f t="shared" si="15"/>
        <v>10105</v>
      </c>
      <c r="L42" s="516">
        <f t="shared" si="15"/>
        <v>10000</v>
      </c>
      <c r="M42" s="516">
        <f t="shared" si="15"/>
        <v>140125</v>
      </c>
      <c r="N42" s="516" t="e">
        <f t="shared" si="15"/>
        <v>#REF!</v>
      </c>
      <c r="O42" s="575" t="e">
        <f t="shared" si="2"/>
        <v>#REF!</v>
      </c>
    </row>
    <row r="43" spans="1:15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</row>
    <row r="44" spans="1:15" ht="14" thickBot="1">
      <c r="A44" s="305"/>
      <c r="B44" s="305"/>
      <c r="C44" s="305"/>
      <c r="D44" s="305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</row>
    <row r="45" spans="1:15" ht="20" thickBot="1">
      <c r="A45" s="305"/>
      <c r="B45" s="305"/>
      <c r="C45" s="305"/>
      <c r="D45" s="305"/>
      <c r="E45" s="1218"/>
      <c r="F45" s="1219"/>
      <c r="G45" s="1219"/>
      <c r="H45" s="1219"/>
      <c r="I45" s="1220"/>
      <c r="J45" s="305"/>
      <c r="K45" s="305"/>
      <c r="L45" s="305"/>
      <c r="M45" s="305"/>
      <c r="N45" s="305"/>
      <c r="O45" s="305"/>
    </row>
    <row r="46" spans="1:15" ht="14" thickTop="1">
      <c r="A46" s="1214"/>
      <c r="B46" s="932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</row>
    <row r="47" spans="1:15" ht="14" thickBot="1">
      <c r="A47" s="1215"/>
      <c r="B47" s="933"/>
      <c r="C47" s="305"/>
      <c r="D47" s="305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</row>
    <row r="48" spans="1:15" ht="14" thickTop="1">
      <c r="A48" s="1221"/>
      <c r="B48" s="934"/>
      <c r="C48" s="1223"/>
      <c r="D48" s="1223"/>
      <c r="E48" s="1223"/>
      <c r="F48" s="1223"/>
      <c r="G48" s="1223"/>
      <c r="H48" s="1223"/>
      <c r="I48" s="1223"/>
      <c r="J48" s="1223"/>
      <c r="K48" s="1223"/>
      <c r="L48" s="1223"/>
      <c r="M48" s="1223"/>
      <c r="N48" s="935"/>
      <c r="O48" s="1223"/>
    </row>
    <row r="49" spans="1:15" ht="14" thickBot="1">
      <c r="A49" s="1222"/>
      <c r="B49" s="936"/>
      <c r="C49" s="1224"/>
      <c r="D49" s="1224"/>
      <c r="E49" s="1224"/>
      <c r="F49" s="1224"/>
      <c r="G49" s="1224"/>
      <c r="H49" s="1224"/>
      <c r="I49" s="1224"/>
      <c r="J49" s="1224"/>
      <c r="K49" s="1224"/>
      <c r="L49" s="1224"/>
      <c r="M49" s="1224"/>
      <c r="N49" s="937"/>
      <c r="O49" s="1224"/>
    </row>
    <row r="50" spans="1:15" ht="14" thickTop="1">
      <c r="C50" s="926"/>
      <c r="D50" s="926"/>
      <c r="E50" s="926"/>
    </row>
    <row r="51" spans="1:15">
      <c r="A51" s="353"/>
      <c r="B51" s="353"/>
      <c r="C51" s="927"/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7"/>
      <c r="O51" s="353"/>
    </row>
    <row r="52" spans="1:15">
      <c r="A52" s="353"/>
      <c r="B52" s="353"/>
      <c r="C52" s="927"/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7"/>
      <c r="O52" s="353"/>
    </row>
    <row r="53" spans="1:15">
      <c r="A53" s="353"/>
      <c r="B53" s="353"/>
      <c r="C53" s="927"/>
      <c r="D53" s="927"/>
      <c r="E53" s="927"/>
      <c r="F53" s="927"/>
      <c r="G53" s="927"/>
      <c r="H53" s="927"/>
      <c r="I53" s="927"/>
      <c r="J53" s="927"/>
      <c r="K53" s="927"/>
      <c r="L53" s="927"/>
      <c r="M53" s="927"/>
      <c r="N53" s="927"/>
      <c r="O53" s="353"/>
    </row>
    <row r="54" spans="1:15">
      <c r="A54" s="353"/>
      <c r="B54" s="353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7"/>
      <c r="O54" s="353"/>
    </row>
    <row r="55" spans="1:15">
      <c r="A55" s="353"/>
      <c r="B55" s="353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  <c r="N55" s="927"/>
      <c r="O55" s="353"/>
    </row>
    <row r="56" spans="1:15" ht="14" thickBot="1">
      <c r="A56" s="305"/>
      <c r="B56" s="305"/>
      <c r="C56" s="938"/>
      <c r="D56" s="938"/>
      <c r="E56" s="938"/>
      <c r="F56" s="938"/>
      <c r="G56" s="938"/>
      <c r="H56" s="938"/>
      <c r="I56" s="938"/>
      <c r="J56" s="938"/>
      <c r="K56" s="938"/>
      <c r="L56" s="938"/>
      <c r="M56" s="938"/>
      <c r="N56" s="938"/>
      <c r="O56" s="305"/>
    </row>
    <row r="57" spans="1:15" ht="20" thickBot="1">
      <c r="A57" s="305"/>
      <c r="B57" s="305"/>
      <c r="C57" s="305"/>
      <c r="D57" s="305"/>
      <c r="E57" s="1218"/>
      <c r="F57" s="1219"/>
      <c r="G57" s="1219"/>
      <c r="H57" s="1219"/>
      <c r="I57" s="1220"/>
      <c r="J57" s="305"/>
      <c r="K57" s="305"/>
      <c r="L57" s="305"/>
      <c r="M57" s="305"/>
      <c r="N57" s="305"/>
      <c r="O57" s="305"/>
    </row>
    <row r="58" spans="1:15">
      <c r="A58" s="305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</row>
    <row r="59" spans="1:15">
      <c r="A59" s="305"/>
      <c r="B59" s="305"/>
      <c r="C59" s="305"/>
      <c r="D59" s="305"/>
      <c r="E59" s="305"/>
      <c r="F59" s="1209"/>
      <c r="G59" s="1209"/>
      <c r="H59" s="1209"/>
      <c r="I59" s="1209"/>
      <c r="J59" s="305"/>
      <c r="K59" s="305"/>
      <c r="L59" s="305"/>
      <c r="M59" s="305"/>
      <c r="N59" s="305"/>
      <c r="O59" s="305"/>
    </row>
    <row r="60" spans="1:15" ht="14" thickBot="1">
      <c r="A60" s="305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</row>
    <row r="61" spans="1:15" ht="14" thickTop="1">
      <c r="A61" s="1221"/>
      <c r="B61" s="1223"/>
      <c r="C61" s="1223"/>
      <c r="D61" s="1223"/>
      <c r="E61" s="1223"/>
      <c r="F61" s="1223"/>
      <c r="G61" s="1223"/>
      <c r="H61" s="1223"/>
      <c r="I61" s="1223"/>
      <c r="J61" s="1223"/>
      <c r="K61" s="1223"/>
      <c r="L61" s="1223"/>
      <c r="M61" s="1223"/>
      <c r="N61" s="1223"/>
      <c r="O61" s="1223"/>
    </row>
    <row r="62" spans="1:15" ht="14" thickBot="1">
      <c r="A62" s="1225"/>
      <c r="B62" s="1224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</row>
    <row r="63" spans="1:15" ht="14" thickTop="1"/>
    <row r="64" spans="1:15">
      <c r="A64" s="939"/>
      <c r="B64" s="940"/>
      <c r="C64" s="929"/>
      <c r="D64" s="929"/>
      <c r="E64" s="929"/>
      <c r="F64" s="929"/>
      <c r="G64" s="929"/>
      <c r="H64" s="929"/>
      <c r="I64" s="929"/>
      <c r="J64" s="929"/>
      <c r="K64" s="929"/>
      <c r="L64" s="929"/>
      <c r="M64" s="929"/>
      <c r="N64" s="929"/>
      <c r="O64" s="929"/>
    </row>
    <row r="65" spans="1:15">
      <c r="A65" s="939"/>
      <c r="B65" s="940"/>
      <c r="C65" s="929"/>
      <c r="D65" s="929"/>
      <c r="E65" s="929"/>
      <c r="F65" s="929"/>
      <c r="G65" s="929"/>
      <c r="H65" s="929"/>
      <c r="I65" s="929"/>
      <c r="J65" s="929"/>
      <c r="K65" s="929"/>
      <c r="L65" s="929"/>
      <c r="M65" s="929"/>
      <c r="N65" s="929"/>
      <c r="O65" s="929"/>
    </row>
    <row r="66" spans="1:15">
      <c r="A66" s="939"/>
      <c r="B66" s="940"/>
      <c r="C66" s="929"/>
      <c r="D66" s="929"/>
      <c r="E66" s="929"/>
      <c r="F66" s="929"/>
      <c r="G66" s="929"/>
      <c r="H66" s="929"/>
      <c r="I66" s="929"/>
      <c r="J66" s="929"/>
      <c r="K66" s="929"/>
      <c r="L66" s="929"/>
      <c r="M66" s="929"/>
      <c r="N66" s="929"/>
      <c r="O66" s="929"/>
    </row>
    <row r="67" spans="1:15">
      <c r="A67" s="939"/>
      <c r="B67" s="940"/>
      <c r="C67" s="929"/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</row>
    <row r="68" spans="1:15">
      <c r="A68" s="939"/>
      <c r="B68" s="940"/>
      <c r="C68" s="929"/>
      <c r="D68" s="929"/>
      <c r="E68" s="929"/>
      <c r="F68" s="929"/>
      <c r="G68" s="929"/>
      <c r="H68" s="929"/>
      <c r="I68" s="929"/>
      <c r="J68" s="929"/>
      <c r="K68" s="929"/>
      <c r="L68" s="929"/>
      <c r="M68" s="929"/>
      <c r="N68" s="929"/>
      <c r="O68" s="929"/>
    </row>
    <row r="69" spans="1:15" ht="17" thickBot="1">
      <c r="A69" s="941"/>
      <c r="B69" s="942"/>
      <c r="C69" s="943"/>
      <c r="D69" s="943"/>
      <c r="E69" s="943"/>
      <c r="F69" s="943"/>
      <c r="G69" s="943"/>
      <c r="H69" s="943"/>
      <c r="I69" s="943"/>
      <c r="J69" s="943"/>
      <c r="K69" s="943"/>
      <c r="L69" s="943"/>
      <c r="M69" s="943"/>
      <c r="N69" s="943"/>
      <c r="O69" s="944"/>
    </row>
    <row r="70" spans="1:15">
      <c r="A70" s="305"/>
      <c r="B70" s="305"/>
      <c r="C70" s="305"/>
      <c r="D70" s="305"/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</row>
    <row r="71" spans="1:15">
      <c r="A71" s="305"/>
      <c r="B71" s="305"/>
      <c r="C71" s="305"/>
      <c r="D71" s="305"/>
      <c r="E71" s="305"/>
      <c r="F71" s="305"/>
      <c r="G71" s="305"/>
      <c r="H71" s="305"/>
      <c r="I71" s="305"/>
      <c r="J71" s="305"/>
      <c r="K71" s="305"/>
      <c r="L71" s="305"/>
      <c r="M71" s="305"/>
      <c r="N71" s="305"/>
      <c r="O71" s="305"/>
    </row>
    <row r="72" spans="1:15" ht="14" thickBot="1">
      <c r="A72" s="305"/>
      <c r="B72" s="305"/>
      <c r="C72" s="305"/>
      <c r="D72" s="305"/>
      <c r="E72" s="305"/>
      <c r="F72" s="305"/>
      <c r="G72" s="305"/>
      <c r="H72" s="305"/>
      <c r="I72" s="305"/>
      <c r="J72" s="305"/>
      <c r="K72" s="305"/>
      <c r="L72" s="305"/>
      <c r="M72" s="305"/>
      <c r="N72" s="305"/>
      <c r="O72" s="305"/>
    </row>
    <row r="73" spans="1:15" ht="20" thickBot="1">
      <c r="A73" s="305"/>
      <c r="B73" s="305"/>
      <c r="C73" s="305"/>
      <c r="D73" s="305"/>
      <c r="E73" s="1218"/>
      <c r="F73" s="1219"/>
      <c r="G73" s="1219"/>
      <c r="H73" s="1219"/>
      <c r="I73" s="1220"/>
      <c r="J73" s="305"/>
      <c r="K73" s="305"/>
      <c r="L73" s="305"/>
      <c r="M73" s="305"/>
      <c r="N73" s="305"/>
      <c r="O73" s="305"/>
    </row>
    <row r="74" spans="1:15" ht="20" thickBot="1">
      <c r="A74" s="305"/>
      <c r="B74" s="305"/>
      <c r="C74" s="305"/>
      <c r="D74" s="305"/>
      <c r="E74" s="389"/>
      <c r="F74" s="389"/>
      <c r="G74" s="389"/>
      <c r="H74" s="389"/>
      <c r="I74" s="389"/>
      <c r="J74" s="305"/>
      <c r="K74" s="305"/>
      <c r="L74" s="305"/>
      <c r="M74" s="305"/>
      <c r="N74" s="305"/>
      <c r="O74" s="305"/>
    </row>
    <row r="75" spans="1:15" ht="14" thickTop="1">
      <c r="A75" s="1214"/>
      <c r="B75" s="932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</row>
    <row r="76" spans="1:15" ht="14" thickBot="1">
      <c r="A76" s="1215"/>
      <c r="B76" s="933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</row>
    <row r="77" spans="1:15" ht="14" thickTop="1">
      <c r="A77" s="1221"/>
      <c r="B77" s="934"/>
      <c r="C77" s="1223"/>
      <c r="D77" s="1223"/>
      <c r="E77" s="1223"/>
      <c r="F77" s="1223"/>
      <c r="G77" s="1223"/>
      <c r="H77" s="1223"/>
      <c r="I77" s="1223"/>
      <c r="J77" s="1223"/>
      <c r="K77" s="1223"/>
      <c r="L77" s="1223"/>
      <c r="M77" s="1223"/>
      <c r="N77" s="935"/>
      <c r="O77" s="1223"/>
    </row>
    <row r="78" spans="1:15" ht="14" thickBot="1">
      <c r="A78" s="1222"/>
      <c r="B78" s="936"/>
      <c r="C78" s="1224"/>
      <c r="D78" s="1224"/>
      <c r="E78" s="1224"/>
      <c r="F78" s="1224"/>
      <c r="G78" s="1224"/>
      <c r="H78" s="1224"/>
      <c r="I78" s="1224"/>
      <c r="J78" s="1224"/>
      <c r="K78" s="1224"/>
      <c r="L78" s="1224"/>
      <c r="M78" s="1224"/>
      <c r="N78" s="937"/>
      <c r="O78" s="1224"/>
    </row>
    <row r="79" spans="1:15" ht="14" thickTop="1">
      <c r="C79" s="926"/>
      <c r="D79" s="926"/>
      <c r="E79" s="926"/>
    </row>
    <row r="80" spans="1:15">
      <c r="A80" s="353"/>
      <c r="B80" s="353"/>
      <c r="C80" s="945"/>
      <c r="D80" s="945"/>
      <c r="E80" s="945"/>
      <c r="F80" s="945"/>
      <c r="G80" s="945"/>
      <c r="H80" s="945"/>
      <c r="I80" s="945"/>
      <c r="J80" s="945"/>
      <c r="K80" s="945"/>
      <c r="L80" s="945"/>
      <c r="M80" s="945"/>
      <c r="N80" s="945"/>
      <c r="O80" s="353"/>
    </row>
    <row r="81" spans="1:15">
      <c r="A81" s="353"/>
      <c r="B81" s="353"/>
      <c r="C81" s="945"/>
      <c r="D81" s="945"/>
      <c r="E81" s="945"/>
      <c r="F81" s="945"/>
      <c r="G81" s="945"/>
      <c r="H81" s="945"/>
      <c r="I81" s="945"/>
      <c r="J81" s="945"/>
      <c r="K81" s="945"/>
      <c r="L81" s="945"/>
      <c r="M81" s="945"/>
      <c r="N81" s="945"/>
      <c r="O81" s="353"/>
    </row>
    <row r="82" spans="1:15">
      <c r="A82" s="353"/>
      <c r="B82" s="353"/>
      <c r="C82" s="945"/>
      <c r="D82" s="945"/>
      <c r="E82" s="945"/>
      <c r="F82" s="945"/>
      <c r="G82" s="945"/>
      <c r="H82" s="945"/>
      <c r="I82" s="945"/>
      <c r="J82" s="945"/>
      <c r="K82" s="945"/>
      <c r="L82" s="945"/>
      <c r="M82" s="945"/>
      <c r="N82" s="945"/>
      <c r="O82" s="353"/>
    </row>
    <row r="83" spans="1:15">
      <c r="A83" s="353"/>
      <c r="B83" s="353"/>
      <c r="C83" s="945"/>
      <c r="D83" s="945"/>
      <c r="E83" s="945"/>
      <c r="F83" s="945"/>
      <c r="G83" s="945"/>
      <c r="H83" s="945"/>
      <c r="I83" s="945"/>
      <c r="J83" s="945"/>
      <c r="K83" s="945"/>
      <c r="L83" s="945"/>
      <c r="M83" s="945"/>
      <c r="N83" s="945"/>
      <c r="O83" s="353"/>
    </row>
    <row r="84" spans="1:15">
      <c r="A84" s="353"/>
      <c r="B84" s="353"/>
      <c r="C84" s="945"/>
      <c r="D84" s="945"/>
      <c r="E84" s="945"/>
      <c r="F84" s="945"/>
      <c r="G84" s="945"/>
      <c r="H84" s="945"/>
      <c r="I84" s="945"/>
      <c r="J84" s="945"/>
      <c r="K84" s="945"/>
      <c r="L84" s="945"/>
      <c r="M84" s="945"/>
      <c r="N84" s="945"/>
      <c r="O84" s="353"/>
    </row>
    <row r="85" spans="1:15" ht="14" thickBot="1">
      <c r="A85" s="305"/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</row>
    <row r="86" spans="1:15" ht="20" thickBot="1">
      <c r="A86" s="305"/>
      <c r="B86" s="305"/>
      <c r="C86" s="305"/>
      <c r="D86" s="305"/>
      <c r="E86" s="1218"/>
      <c r="F86" s="1219"/>
      <c r="G86" s="1219"/>
      <c r="H86" s="1219"/>
      <c r="I86" s="1220"/>
      <c r="J86" s="305"/>
      <c r="K86" s="305"/>
      <c r="L86" s="305"/>
      <c r="M86" s="305"/>
      <c r="N86" s="305"/>
      <c r="O86" s="305"/>
    </row>
    <row r="87" spans="1:15">
      <c r="A87" s="305"/>
      <c r="B87" s="305"/>
      <c r="C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</row>
    <row r="88" spans="1:15">
      <c r="A88" s="305"/>
      <c r="B88" s="305"/>
      <c r="C88" s="305"/>
      <c r="D88" s="305"/>
      <c r="E88" s="305"/>
      <c r="F88" s="1209"/>
      <c r="G88" s="1209"/>
      <c r="H88" s="1209"/>
      <c r="I88" s="1209"/>
      <c r="J88" s="305"/>
      <c r="K88" s="305"/>
      <c r="L88" s="305"/>
      <c r="M88" s="305"/>
      <c r="N88" s="305"/>
      <c r="O88" s="305"/>
    </row>
    <row r="89" spans="1:15" ht="14" thickBot="1">
      <c r="A89" s="305"/>
      <c r="B89" s="305"/>
      <c r="C89" s="305"/>
      <c r="D89" s="305"/>
      <c r="E89" s="305"/>
      <c r="F89" s="305"/>
      <c r="G89" s="305"/>
      <c r="H89" s="305"/>
      <c r="I89" s="305"/>
      <c r="J89" s="305"/>
      <c r="K89" s="305"/>
      <c r="L89" s="305"/>
      <c r="M89" s="305"/>
      <c r="N89" s="305"/>
      <c r="O89" s="305"/>
    </row>
    <row r="90" spans="1:15" ht="14" thickTop="1">
      <c r="A90" s="1221"/>
      <c r="B90" s="1223"/>
      <c r="C90" s="1223"/>
      <c r="D90" s="1223"/>
      <c r="E90" s="1223"/>
      <c r="F90" s="1223"/>
      <c r="G90" s="1223"/>
      <c r="H90" s="1223"/>
      <c r="I90" s="1223"/>
      <c r="J90" s="1223"/>
      <c r="K90" s="1223"/>
      <c r="L90" s="1223"/>
      <c r="M90" s="1223"/>
      <c r="N90" s="1223"/>
      <c r="O90" s="1223"/>
    </row>
    <row r="91" spans="1:15" ht="14" thickBot="1">
      <c r="A91" s="1225"/>
      <c r="B91" s="1224"/>
      <c r="C91" s="1226"/>
      <c r="D91" s="1226"/>
      <c r="E91" s="1226"/>
      <c r="F91" s="1226"/>
      <c r="G91" s="1226"/>
      <c r="H91" s="1226"/>
      <c r="I91" s="1226"/>
      <c r="J91" s="1226"/>
      <c r="K91" s="1226"/>
      <c r="L91" s="1226"/>
      <c r="M91" s="1226"/>
      <c r="N91" s="1226"/>
      <c r="O91" s="1226"/>
    </row>
    <row r="92" spans="1:15" ht="14" thickTop="1"/>
    <row r="93" spans="1:15">
      <c r="A93" s="939"/>
      <c r="B93" s="940"/>
      <c r="C93" s="929"/>
      <c r="D93" s="929"/>
      <c r="E93" s="929"/>
      <c r="F93" s="929"/>
      <c r="G93" s="929"/>
      <c r="H93" s="929"/>
      <c r="I93" s="929"/>
      <c r="J93" s="929"/>
      <c r="K93" s="929"/>
      <c r="L93" s="929"/>
      <c r="M93" s="929"/>
      <c r="N93" s="929"/>
      <c r="O93" s="929"/>
    </row>
    <row r="94" spans="1:15">
      <c r="A94" s="939"/>
      <c r="B94" s="940"/>
      <c r="C94" s="929"/>
      <c r="D94" s="929"/>
      <c r="E94" s="929"/>
      <c r="F94" s="929"/>
      <c r="G94" s="929"/>
      <c r="H94" s="929"/>
      <c r="I94" s="929"/>
      <c r="J94" s="929"/>
      <c r="K94" s="929"/>
      <c r="L94" s="929"/>
      <c r="M94" s="929"/>
      <c r="N94" s="929"/>
      <c r="O94" s="929"/>
    </row>
    <row r="95" spans="1:15">
      <c r="A95" s="939"/>
      <c r="B95" s="940"/>
      <c r="C95" s="929"/>
      <c r="D95" s="929"/>
      <c r="E95" s="929"/>
      <c r="F95" s="929"/>
      <c r="G95" s="929"/>
      <c r="H95" s="929"/>
      <c r="I95" s="929"/>
      <c r="J95" s="929"/>
      <c r="K95" s="929"/>
      <c r="L95" s="929"/>
      <c r="M95" s="929"/>
      <c r="N95" s="929"/>
      <c r="O95" s="929"/>
    </row>
    <row r="96" spans="1:15">
      <c r="A96" s="939"/>
      <c r="B96" s="940"/>
      <c r="C96" s="929"/>
      <c r="D96" s="929"/>
      <c r="E96" s="929"/>
      <c r="F96" s="929"/>
      <c r="G96" s="929"/>
      <c r="H96" s="929"/>
      <c r="I96" s="929"/>
      <c r="J96" s="929"/>
      <c r="K96" s="929"/>
      <c r="L96" s="929"/>
      <c r="M96" s="929"/>
      <c r="N96" s="929"/>
      <c r="O96" s="929"/>
    </row>
    <row r="97" spans="1:16" ht="14" thickBot="1">
      <c r="A97" s="939"/>
      <c r="B97" s="940"/>
      <c r="C97" s="929"/>
      <c r="D97" s="929"/>
      <c r="E97" s="929"/>
      <c r="F97" s="929"/>
      <c r="G97" s="929"/>
      <c r="H97" s="929"/>
      <c r="I97" s="929"/>
      <c r="J97" s="929"/>
      <c r="K97" s="929"/>
      <c r="L97" s="929"/>
      <c r="M97" s="929"/>
      <c r="N97" s="929"/>
      <c r="O97" s="929"/>
    </row>
    <row r="98" spans="1:16" ht="17" thickBot="1">
      <c r="A98" s="946"/>
      <c r="B98" s="947"/>
      <c r="C98" s="948"/>
      <c r="D98" s="948"/>
      <c r="E98" s="948"/>
      <c r="F98" s="948"/>
      <c r="G98" s="948"/>
      <c r="H98" s="948"/>
      <c r="I98" s="948"/>
      <c r="J98" s="948"/>
      <c r="K98" s="948"/>
      <c r="L98" s="948"/>
      <c r="M98" s="948"/>
      <c r="N98" s="948"/>
      <c r="O98" s="949"/>
    </row>
    <row r="99" spans="1:16">
      <c r="A99" s="305"/>
      <c r="B99" s="305"/>
      <c r="C99" s="305"/>
      <c r="D99" s="305"/>
      <c r="E99" s="305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</row>
    <row r="100" spans="1:16" ht="14" thickBot="1">
      <c r="A100" s="305"/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305"/>
      <c r="O100" s="305"/>
      <c r="P100" s="305"/>
    </row>
    <row r="101" spans="1:16" ht="22.5" customHeight="1" thickBot="1">
      <c r="A101" s="950"/>
      <c r="B101" s="951"/>
      <c r="C101" s="952"/>
      <c r="D101" s="952"/>
      <c r="E101" s="952"/>
      <c r="F101" s="952"/>
      <c r="G101" s="952"/>
      <c r="H101" s="952"/>
      <c r="I101" s="952"/>
      <c r="J101" s="952"/>
      <c r="K101" s="952"/>
      <c r="L101" s="952"/>
      <c r="M101" s="952"/>
      <c r="N101" s="952"/>
      <c r="O101" s="953"/>
    </row>
    <row r="102" spans="1:16">
      <c r="A102" s="305"/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  <c r="O102" s="305"/>
      <c r="P102" s="305"/>
    </row>
    <row r="103" spans="1:16">
      <c r="A103" s="305"/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  <c r="O103" s="305"/>
      <c r="P103" s="305"/>
    </row>
    <row r="104" spans="1:16">
      <c r="A104" s="305"/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  <c r="O104" s="305"/>
      <c r="P104" s="305"/>
    </row>
    <row r="105" spans="1:16">
      <c r="A105" s="305"/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  <c r="O105" s="305"/>
      <c r="P105" s="305"/>
    </row>
  </sheetData>
  <mergeCells count="96">
    <mergeCell ref="O90:O91"/>
    <mergeCell ref="J90:J91"/>
    <mergeCell ref="K90:K91"/>
    <mergeCell ref="L90:L91"/>
    <mergeCell ref="M90:M91"/>
    <mergeCell ref="N90:N91"/>
    <mergeCell ref="E86:I86"/>
    <mergeCell ref="F88:I88"/>
    <mergeCell ref="A90:A91"/>
    <mergeCell ref="B90:B91"/>
    <mergeCell ref="C90:C91"/>
    <mergeCell ref="D90:D91"/>
    <mergeCell ref="E90:E91"/>
    <mergeCell ref="F90:F91"/>
    <mergeCell ref="G90:G91"/>
    <mergeCell ref="H90:H91"/>
    <mergeCell ref="I90:I91"/>
    <mergeCell ref="O61:O62"/>
    <mergeCell ref="E73:I73"/>
    <mergeCell ref="A75:A76"/>
    <mergeCell ref="A77:A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O77:O78"/>
    <mergeCell ref="J61:J62"/>
    <mergeCell ref="K61:K62"/>
    <mergeCell ref="L61:L62"/>
    <mergeCell ref="M61:M62"/>
    <mergeCell ref="N61:N62"/>
    <mergeCell ref="E57:I57"/>
    <mergeCell ref="F59:I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48:J49"/>
    <mergeCell ref="K48:K49"/>
    <mergeCell ref="L48:L49"/>
    <mergeCell ref="M48:M49"/>
    <mergeCell ref="O48:O49"/>
    <mergeCell ref="E45:I45"/>
    <mergeCell ref="A46:A47"/>
    <mergeCell ref="A48:A49"/>
    <mergeCell ref="C48:C49"/>
    <mergeCell ref="D48:D49"/>
    <mergeCell ref="E48:E49"/>
    <mergeCell ref="F48:F49"/>
    <mergeCell ref="G48:G49"/>
    <mergeCell ref="H48:H49"/>
    <mergeCell ref="I48:I49"/>
    <mergeCell ref="O27:O28"/>
    <mergeCell ref="H27:H28"/>
    <mergeCell ref="I27:I28"/>
    <mergeCell ref="J27:J28"/>
    <mergeCell ref="K27:K28"/>
    <mergeCell ref="A6:A7"/>
    <mergeCell ref="C6:C7"/>
    <mergeCell ref="A4:A5"/>
    <mergeCell ref="N27:N28"/>
    <mergeCell ref="I6:I7"/>
    <mergeCell ref="L27:L28"/>
    <mergeCell ref="M27:M28"/>
    <mergeCell ref="B27:B28"/>
    <mergeCell ref="E23:I23"/>
    <mergeCell ref="A27:A28"/>
    <mergeCell ref="C27:C28"/>
    <mergeCell ref="D27:D28"/>
    <mergeCell ref="E27:E28"/>
    <mergeCell ref="F27:F28"/>
    <mergeCell ref="G27:G28"/>
    <mergeCell ref="O6:O7"/>
    <mergeCell ref="L6:L7"/>
    <mergeCell ref="M6:M7"/>
    <mergeCell ref="J6:J7"/>
    <mergeCell ref="K6:K7"/>
    <mergeCell ref="E2:I2"/>
    <mergeCell ref="F25:I25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horizontalDpi="429496729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Q94"/>
  <sheetViews>
    <sheetView zoomScale="130" zoomScaleNormal="130" workbookViewId="0">
      <selection activeCell="A12" sqref="A12"/>
    </sheetView>
  </sheetViews>
  <sheetFormatPr baseColWidth="10" defaultColWidth="11" defaultRowHeight="13"/>
  <cols>
    <col min="1" max="1" width="29.83203125" style="187" customWidth="1"/>
    <col min="2" max="2" width="17.1640625" style="187" customWidth="1"/>
    <col min="3" max="4" width="19.1640625" style="187" bestFit="1" customWidth="1"/>
    <col min="5" max="5" width="19.83203125" style="187" customWidth="1"/>
    <col min="6" max="6" width="19.1640625" style="187" customWidth="1"/>
    <col min="7" max="7" width="22.1640625" style="187" customWidth="1"/>
    <col min="8" max="14" width="19.1640625" style="187" bestFit="1" customWidth="1"/>
    <col min="15" max="15" width="20.5" style="187" customWidth="1"/>
    <col min="16" max="16384" width="11" style="187"/>
  </cols>
  <sheetData>
    <row r="1" spans="1:17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</row>
    <row r="2" spans="1:17" ht="16">
      <c r="A2" s="1229">
        <f>INVERSION!A6</f>
        <v>0</v>
      </c>
      <c r="B2" s="1229"/>
      <c r="C2" s="1229"/>
      <c r="D2" s="1229"/>
      <c r="E2" s="1229"/>
      <c r="F2" s="1229"/>
      <c r="G2" s="1229"/>
      <c r="H2" s="1229"/>
      <c r="I2" s="1229"/>
      <c r="J2" s="1229"/>
      <c r="K2" s="305"/>
      <c r="L2" s="305"/>
      <c r="M2" s="305"/>
      <c r="N2" s="305"/>
      <c r="O2" s="305"/>
      <c r="P2" s="305"/>
      <c r="Q2" s="305"/>
    </row>
    <row r="3" spans="1:17" ht="17" thickBot="1">
      <c r="A3" s="305"/>
      <c r="B3" s="305"/>
      <c r="C3" s="305"/>
      <c r="D3" s="476"/>
      <c r="E3" s="305"/>
      <c r="F3" s="954" t="s">
        <v>319</v>
      </c>
      <c r="G3" s="476"/>
      <c r="H3" s="476"/>
      <c r="I3" s="305"/>
      <c r="J3" s="305"/>
      <c r="K3" s="305"/>
      <c r="L3" s="305"/>
      <c r="M3" s="305"/>
      <c r="N3" s="305"/>
      <c r="O3" s="305"/>
      <c r="P3" s="305"/>
      <c r="Q3" s="305"/>
    </row>
    <row r="4" spans="1:17" ht="17" thickBot="1">
      <c r="A4" s="955" t="s">
        <v>302</v>
      </c>
      <c r="B4" s="328"/>
      <c r="C4" s="305"/>
      <c r="D4" s="305"/>
      <c r="E4" s="476"/>
      <c r="F4" s="476"/>
      <c r="G4" s="476"/>
      <c r="H4" s="476"/>
      <c r="I4" s="305"/>
      <c r="J4" s="305"/>
      <c r="K4" s="305"/>
      <c r="L4" s="305"/>
      <c r="M4" s="305"/>
      <c r="N4" s="305"/>
      <c r="O4" s="305"/>
      <c r="P4" s="305"/>
      <c r="Q4" s="305"/>
    </row>
    <row r="5" spans="1:17" ht="14" thickBo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</row>
    <row r="6" spans="1:17" s="305" customFormat="1" ht="14" thickTop="1">
      <c r="A6" s="1230" t="s">
        <v>463</v>
      </c>
      <c r="B6" s="482"/>
      <c r="C6" s="1232" t="s">
        <v>38</v>
      </c>
      <c r="D6" s="1212" t="s">
        <v>39</v>
      </c>
      <c r="E6" s="1212" t="s">
        <v>40</v>
      </c>
      <c r="F6" s="1212" t="s">
        <v>41</v>
      </c>
      <c r="G6" s="1212" t="s">
        <v>42</v>
      </c>
      <c r="H6" s="483" t="s">
        <v>43</v>
      </c>
      <c r="I6" s="483" t="s">
        <v>44</v>
      </c>
      <c r="J6" s="483" t="s">
        <v>45</v>
      </c>
      <c r="K6" s="483" t="s">
        <v>46</v>
      </c>
      <c r="L6" s="1212" t="s">
        <v>47</v>
      </c>
      <c r="M6" s="483" t="s">
        <v>48</v>
      </c>
      <c r="N6" s="483" t="s">
        <v>49</v>
      </c>
      <c r="O6" s="1212" t="s">
        <v>35</v>
      </c>
    </row>
    <row r="7" spans="1:17" s="305" customFormat="1" ht="14" thickBot="1">
      <c r="A7" s="1231"/>
      <c r="B7" s="482"/>
      <c r="C7" s="1233"/>
      <c r="D7" s="1213" t="s">
        <v>39</v>
      </c>
      <c r="E7" s="1213" t="s">
        <v>40</v>
      </c>
      <c r="F7" s="1213" t="s">
        <v>41</v>
      </c>
      <c r="G7" s="1213" t="s">
        <v>42</v>
      </c>
      <c r="H7" s="484"/>
      <c r="I7" s="484"/>
      <c r="J7" s="484"/>
      <c r="K7" s="484"/>
      <c r="L7" s="1213" t="s">
        <v>47</v>
      </c>
      <c r="M7" s="484"/>
      <c r="N7" s="484"/>
      <c r="O7" s="1213"/>
    </row>
    <row r="8" spans="1:17" ht="14" thickTop="1">
      <c r="A8" s="403"/>
      <c r="B8" s="438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</row>
    <row r="9" spans="1:17">
      <c r="A9" s="477"/>
      <c r="B9" s="278"/>
      <c r="C9" s="493">
        <f t="shared" ref="C9:C14" si="0">B9</f>
        <v>0</v>
      </c>
      <c r="D9" s="493">
        <f t="shared" ref="D9:D14" si="1">C9</f>
        <v>0</v>
      </c>
      <c r="E9" s="493">
        <f t="shared" ref="E9:E14" si="2">D9</f>
        <v>0</v>
      </c>
      <c r="F9" s="493">
        <f t="shared" ref="F9:F14" si="3">E9</f>
        <v>0</v>
      </c>
      <c r="G9" s="493">
        <f t="shared" ref="G9:G14" si="4">F9</f>
        <v>0</v>
      </c>
      <c r="H9" s="493">
        <f t="shared" ref="H9:H14" si="5">G9</f>
        <v>0</v>
      </c>
      <c r="I9" s="493">
        <f t="shared" ref="I9:I14" si="6">H9</f>
        <v>0</v>
      </c>
      <c r="J9" s="493">
        <f t="shared" ref="J9:J14" si="7">I9</f>
        <v>0</v>
      </c>
      <c r="K9" s="493">
        <f t="shared" ref="K9:K14" si="8">J9</f>
        <v>0</v>
      </c>
      <c r="L9" s="493">
        <f t="shared" ref="L9:L14" si="9">K9</f>
        <v>0</v>
      </c>
      <c r="M9" s="493">
        <f t="shared" ref="M9:M14" si="10">L9</f>
        <v>0</v>
      </c>
      <c r="N9" s="493">
        <f t="shared" ref="N9:N14" si="11">M9+M9*45%</f>
        <v>0</v>
      </c>
      <c r="O9" s="480">
        <f t="shared" ref="O9:O15" si="12">SUM(C9:N9)</f>
        <v>0</v>
      </c>
      <c r="P9" s="305"/>
      <c r="Q9" s="305"/>
    </row>
    <row r="10" spans="1:17">
      <c r="A10" s="477" t="s">
        <v>504</v>
      </c>
      <c r="B10" s="278">
        <v>18000</v>
      </c>
      <c r="C10" s="493">
        <f t="shared" si="0"/>
        <v>18000</v>
      </c>
      <c r="D10" s="493">
        <f t="shared" si="1"/>
        <v>18000</v>
      </c>
      <c r="E10" s="493">
        <f t="shared" si="2"/>
        <v>18000</v>
      </c>
      <c r="F10" s="493">
        <f t="shared" si="3"/>
        <v>18000</v>
      </c>
      <c r="G10" s="493">
        <f t="shared" si="4"/>
        <v>18000</v>
      </c>
      <c r="H10" s="493">
        <f t="shared" si="5"/>
        <v>18000</v>
      </c>
      <c r="I10" s="493">
        <f t="shared" si="6"/>
        <v>18000</v>
      </c>
      <c r="J10" s="493">
        <f t="shared" si="7"/>
        <v>18000</v>
      </c>
      <c r="K10" s="493">
        <f t="shared" si="8"/>
        <v>18000</v>
      </c>
      <c r="L10" s="493">
        <f t="shared" si="9"/>
        <v>18000</v>
      </c>
      <c r="M10" s="493">
        <f t="shared" si="10"/>
        <v>18000</v>
      </c>
      <c r="N10" s="493">
        <f t="shared" si="11"/>
        <v>26100</v>
      </c>
      <c r="O10" s="480">
        <f t="shared" si="12"/>
        <v>224100</v>
      </c>
      <c r="P10" s="305"/>
      <c r="Q10" s="305"/>
    </row>
    <row r="11" spans="1:17">
      <c r="A11" s="477" t="s">
        <v>504</v>
      </c>
      <c r="B11" s="278">
        <v>18000</v>
      </c>
      <c r="C11" s="493">
        <f t="shared" si="0"/>
        <v>18000</v>
      </c>
      <c r="D11" s="493">
        <f t="shared" si="1"/>
        <v>18000</v>
      </c>
      <c r="E11" s="493">
        <f t="shared" si="2"/>
        <v>18000</v>
      </c>
      <c r="F11" s="493">
        <f t="shared" si="3"/>
        <v>18000</v>
      </c>
      <c r="G11" s="493">
        <f t="shared" si="4"/>
        <v>18000</v>
      </c>
      <c r="H11" s="493">
        <f t="shared" si="5"/>
        <v>18000</v>
      </c>
      <c r="I11" s="493">
        <f t="shared" si="6"/>
        <v>18000</v>
      </c>
      <c r="J11" s="493">
        <f t="shared" si="7"/>
        <v>18000</v>
      </c>
      <c r="K11" s="493">
        <f t="shared" si="8"/>
        <v>18000</v>
      </c>
      <c r="L11" s="493">
        <f t="shared" si="9"/>
        <v>18000</v>
      </c>
      <c r="M11" s="493">
        <f t="shared" si="10"/>
        <v>18000</v>
      </c>
      <c r="N11" s="493">
        <f t="shared" si="11"/>
        <v>26100</v>
      </c>
      <c r="O11" s="480">
        <f t="shared" si="12"/>
        <v>224100</v>
      </c>
      <c r="P11" s="305"/>
      <c r="Q11" s="305"/>
    </row>
    <row r="12" spans="1:17">
      <c r="A12" s="477" t="s">
        <v>503</v>
      </c>
      <c r="B12" s="278">
        <v>3000</v>
      </c>
      <c r="C12" s="493">
        <f t="shared" si="0"/>
        <v>3000</v>
      </c>
      <c r="D12" s="493">
        <f t="shared" si="1"/>
        <v>3000</v>
      </c>
      <c r="E12" s="493">
        <f t="shared" si="2"/>
        <v>3000</v>
      </c>
      <c r="F12" s="493">
        <f t="shared" si="3"/>
        <v>3000</v>
      </c>
      <c r="G12" s="493">
        <f t="shared" si="4"/>
        <v>3000</v>
      </c>
      <c r="H12" s="493">
        <f t="shared" si="5"/>
        <v>3000</v>
      </c>
      <c r="I12" s="493">
        <f t="shared" si="6"/>
        <v>3000</v>
      </c>
      <c r="J12" s="493">
        <f t="shared" si="7"/>
        <v>3000</v>
      </c>
      <c r="K12" s="493">
        <f t="shared" si="8"/>
        <v>3000</v>
      </c>
      <c r="L12" s="493">
        <f t="shared" si="9"/>
        <v>3000</v>
      </c>
      <c r="M12" s="493">
        <f t="shared" si="10"/>
        <v>3000</v>
      </c>
      <c r="N12" s="493">
        <f t="shared" si="11"/>
        <v>4350</v>
      </c>
      <c r="O12" s="480">
        <f t="shared" si="12"/>
        <v>37350</v>
      </c>
      <c r="P12" s="305"/>
      <c r="Q12" s="305"/>
    </row>
    <row r="13" spans="1:17">
      <c r="A13" s="477"/>
      <c r="B13" s="278"/>
      <c r="C13" s="493">
        <f t="shared" si="0"/>
        <v>0</v>
      </c>
      <c r="D13" s="493">
        <f t="shared" si="1"/>
        <v>0</v>
      </c>
      <c r="E13" s="493">
        <f t="shared" si="2"/>
        <v>0</v>
      </c>
      <c r="F13" s="493">
        <f t="shared" si="3"/>
        <v>0</v>
      </c>
      <c r="G13" s="493">
        <f t="shared" si="4"/>
        <v>0</v>
      </c>
      <c r="H13" s="493">
        <f t="shared" si="5"/>
        <v>0</v>
      </c>
      <c r="I13" s="493">
        <f t="shared" si="6"/>
        <v>0</v>
      </c>
      <c r="J13" s="493">
        <f t="shared" si="7"/>
        <v>0</v>
      </c>
      <c r="K13" s="493">
        <f t="shared" si="8"/>
        <v>0</v>
      </c>
      <c r="L13" s="493">
        <f t="shared" si="9"/>
        <v>0</v>
      </c>
      <c r="M13" s="493">
        <f t="shared" si="10"/>
        <v>0</v>
      </c>
      <c r="N13" s="493">
        <f t="shared" si="11"/>
        <v>0</v>
      </c>
      <c r="O13" s="480">
        <f t="shared" si="12"/>
        <v>0</v>
      </c>
      <c r="P13" s="305"/>
      <c r="Q13" s="305"/>
    </row>
    <row r="14" spans="1:17" ht="14" thickBot="1">
      <c r="A14" s="478"/>
      <c r="B14" s="278"/>
      <c r="C14" s="493">
        <f t="shared" si="0"/>
        <v>0</v>
      </c>
      <c r="D14" s="493">
        <f t="shared" si="1"/>
        <v>0</v>
      </c>
      <c r="E14" s="493">
        <f t="shared" si="2"/>
        <v>0</v>
      </c>
      <c r="F14" s="493">
        <f t="shared" si="3"/>
        <v>0</v>
      </c>
      <c r="G14" s="493">
        <f t="shared" si="4"/>
        <v>0</v>
      </c>
      <c r="H14" s="493">
        <f t="shared" si="5"/>
        <v>0</v>
      </c>
      <c r="I14" s="493">
        <f t="shared" si="6"/>
        <v>0</v>
      </c>
      <c r="J14" s="493">
        <f t="shared" si="7"/>
        <v>0</v>
      </c>
      <c r="K14" s="493">
        <f t="shared" si="8"/>
        <v>0</v>
      </c>
      <c r="L14" s="493">
        <f t="shared" si="9"/>
        <v>0</v>
      </c>
      <c r="M14" s="493">
        <f t="shared" si="10"/>
        <v>0</v>
      </c>
      <c r="N14" s="493">
        <f t="shared" si="11"/>
        <v>0</v>
      </c>
      <c r="O14" s="480">
        <f t="shared" si="12"/>
        <v>0</v>
      </c>
      <c r="P14" s="305"/>
      <c r="Q14" s="305"/>
    </row>
    <row r="15" spans="1:17" ht="14" thickBot="1">
      <c r="A15" s="485" t="s">
        <v>394</v>
      </c>
      <c r="B15" s="486"/>
      <c r="C15" s="487">
        <f t="shared" ref="C15:N15" si="13">SUM(C9:C14)</f>
        <v>39000</v>
      </c>
      <c r="D15" s="488">
        <f t="shared" si="13"/>
        <v>39000</v>
      </c>
      <c r="E15" s="488">
        <f t="shared" si="13"/>
        <v>39000</v>
      </c>
      <c r="F15" s="488">
        <f t="shared" si="13"/>
        <v>39000</v>
      </c>
      <c r="G15" s="488">
        <f t="shared" si="13"/>
        <v>39000</v>
      </c>
      <c r="H15" s="488">
        <f t="shared" si="13"/>
        <v>39000</v>
      </c>
      <c r="I15" s="488">
        <f t="shared" si="13"/>
        <v>39000</v>
      </c>
      <c r="J15" s="488">
        <f t="shared" si="13"/>
        <v>39000</v>
      </c>
      <c r="K15" s="488">
        <f t="shared" si="13"/>
        <v>39000</v>
      </c>
      <c r="L15" s="488">
        <f t="shared" si="13"/>
        <v>39000</v>
      </c>
      <c r="M15" s="488">
        <f t="shared" si="13"/>
        <v>39000</v>
      </c>
      <c r="N15" s="488">
        <f t="shared" si="13"/>
        <v>56550</v>
      </c>
      <c r="O15" s="489">
        <f t="shared" si="12"/>
        <v>485550</v>
      </c>
      <c r="P15" s="305"/>
      <c r="Q15" s="305"/>
    </row>
    <row r="16" spans="1:17">
      <c r="A16" s="262"/>
      <c r="B16" s="438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305"/>
      <c r="Q16" s="305"/>
    </row>
    <row r="17" spans="1:17" ht="16">
      <c r="A17" s="1227" t="s">
        <v>464</v>
      </c>
      <c r="B17" s="1228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</row>
    <row r="18" spans="1:17">
      <c r="A18" s="278" t="str">
        <f>'[1]Concentrado IMSS Y 2% Nomina'!B56</f>
        <v>IMSS</v>
      </c>
      <c r="B18" s="479">
        <v>0.15516105849508172</v>
      </c>
      <c r="C18" s="493">
        <f>C15*$B$18</f>
        <v>6051.2812813081873</v>
      </c>
      <c r="D18" s="493">
        <f>D15*$B$18</f>
        <v>6051.2812813081873</v>
      </c>
      <c r="E18" s="493">
        <f t="shared" ref="E18:N18" si="14">E15*$B$18</f>
        <v>6051.2812813081873</v>
      </c>
      <c r="F18" s="493">
        <f t="shared" si="14"/>
        <v>6051.2812813081873</v>
      </c>
      <c r="G18" s="493">
        <f t="shared" si="14"/>
        <v>6051.2812813081873</v>
      </c>
      <c r="H18" s="493">
        <f t="shared" si="14"/>
        <v>6051.2812813081873</v>
      </c>
      <c r="I18" s="493">
        <f t="shared" si="14"/>
        <v>6051.2812813081873</v>
      </c>
      <c r="J18" s="493">
        <f t="shared" si="14"/>
        <v>6051.2812813081873</v>
      </c>
      <c r="K18" s="493">
        <f t="shared" si="14"/>
        <v>6051.2812813081873</v>
      </c>
      <c r="L18" s="493">
        <f t="shared" si="14"/>
        <v>6051.2812813081873</v>
      </c>
      <c r="M18" s="493">
        <f t="shared" si="14"/>
        <v>6051.2812813081873</v>
      </c>
      <c r="N18" s="493">
        <f t="shared" si="14"/>
        <v>8774.3578578968718</v>
      </c>
      <c r="O18" s="480">
        <f>SUM(C18:N18)</f>
        <v>75338.451952286923</v>
      </c>
      <c r="P18" s="305"/>
      <c r="Q18" s="305"/>
    </row>
    <row r="19" spans="1:17">
      <c r="A19" s="278" t="str">
        <f>'[1]Concentrado IMSS Y 2% Nomina'!B57</f>
        <v>AFORE</v>
      </c>
      <c r="B19" s="479">
        <v>3.4003990604950289E-2</v>
      </c>
      <c r="C19" s="493">
        <f>C15*$B$19</f>
        <v>1326.1556335930613</v>
      </c>
      <c r="D19" s="493">
        <f t="shared" ref="D19:N19" si="15">D15*$B$19</f>
        <v>1326.1556335930613</v>
      </c>
      <c r="E19" s="493">
        <f t="shared" si="15"/>
        <v>1326.1556335930613</v>
      </c>
      <c r="F19" s="493">
        <f t="shared" si="15"/>
        <v>1326.1556335930613</v>
      </c>
      <c r="G19" s="493">
        <f t="shared" si="15"/>
        <v>1326.1556335930613</v>
      </c>
      <c r="H19" s="493">
        <f t="shared" si="15"/>
        <v>1326.1556335930613</v>
      </c>
      <c r="I19" s="493">
        <f t="shared" si="15"/>
        <v>1326.1556335930613</v>
      </c>
      <c r="J19" s="493">
        <f t="shared" si="15"/>
        <v>1326.1556335930613</v>
      </c>
      <c r="K19" s="493">
        <f t="shared" si="15"/>
        <v>1326.1556335930613</v>
      </c>
      <c r="L19" s="493">
        <f t="shared" si="15"/>
        <v>1326.1556335930613</v>
      </c>
      <c r="M19" s="493">
        <f t="shared" si="15"/>
        <v>1326.1556335930613</v>
      </c>
      <c r="N19" s="493">
        <f t="shared" si="15"/>
        <v>1922.9256687099389</v>
      </c>
      <c r="O19" s="480">
        <f>SUM(C19:N19)</f>
        <v>16510.637638233617</v>
      </c>
      <c r="P19" s="305"/>
      <c r="Q19" s="305"/>
    </row>
    <row r="20" spans="1:17">
      <c r="A20" s="278" t="str">
        <f>'[1]Concentrado IMSS Y 2% Nomina'!B58</f>
        <v>INFONAVIT</v>
      </c>
      <c r="B20" s="479">
        <v>5.3974588261825863E-2</v>
      </c>
      <c r="C20" s="493">
        <f>C15*$B$20</f>
        <v>2105.0089422112087</v>
      </c>
      <c r="D20" s="493">
        <f t="shared" ref="D20:N20" si="16">D15*$B$20</f>
        <v>2105.0089422112087</v>
      </c>
      <c r="E20" s="493">
        <f t="shared" si="16"/>
        <v>2105.0089422112087</v>
      </c>
      <c r="F20" s="493">
        <f t="shared" si="16"/>
        <v>2105.0089422112087</v>
      </c>
      <c r="G20" s="493">
        <f t="shared" si="16"/>
        <v>2105.0089422112087</v>
      </c>
      <c r="H20" s="493">
        <f t="shared" si="16"/>
        <v>2105.0089422112087</v>
      </c>
      <c r="I20" s="493">
        <f t="shared" si="16"/>
        <v>2105.0089422112087</v>
      </c>
      <c r="J20" s="493">
        <f t="shared" si="16"/>
        <v>2105.0089422112087</v>
      </c>
      <c r="K20" s="493">
        <f t="shared" si="16"/>
        <v>2105.0089422112087</v>
      </c>
      <c r="L20" s="493">
        <f t="shared" si="16"/>
        <v>2105.0089422112087</v>
      </c>
      <c r="M20" s="493">
        <f t="shared" si="16"/>
        <v>2105.0089422112087</v>
      </c>
      <c r="N20" s="493">
        <f t="shared" si="16"/>
        <v>3052.2629662062527</v>
      </c>
      <c r="O20" s="480">
        <f>SUM(C20:N20)</f>
        <v>26207.361330529544</v>
      </c>
      <c r="P20" s="305"/>
      <c r="Q20" s="305"/>
    </row>
    <row r="21" spans="1:17">
      <c r="A21" s="278" t="str">
        <f>'[1]Concentrado IMSS Y 2% Nomina'!B59</f>
        <v>2% RETIRO</v>
      </c>
      <c r="B21" s="479">
        <v>2.1589835304730343E-2</v>
      </c>
      <c r="C21" s="493">
        <f>C15*$B$21</f>
        <v>842.00357688448344</v>
      </c>
      <c r="D21" s="493">
        <f t="shared" ref="D21:N21" si="17">D15*$B$21</f>
        <v>842.00357688448344</v>
      </c>
      <c r="E21" s="493">
        <f t="shared" si="17"/>
        <v>842.00357688448344</v>
      </c>
      <c r="F21" s="493">
        <f t="shared" si="17"/>
        <v>842.00357688448344</v>
      </c>
      <c r="G21" s="493">
        <f t="shared" si="17"/>
        <v>842.00357688448344</v>
      </c>
      <c r="H21" s="493">
        <f t="shared" si="17"/>
        <v>842.00357688448344</v>
      </c>
      <c r="I21" s="493">
        <f t="shared" si="17"/>
        <v>842.00357688448344</v>
      </c>
      <c r="J21" s="493">
        <f t="shared" si="17"/>
        <v>842.00357688448344</v>
      </c>
      <c r="K21" s="493">
        <f t="shared" si="17"/>
        <v>842.00357688448344</v>
      </c>
      <c r="L21" s="493">
        <f t="shared" si="17"/>
        <v>842.00357688448344</v>
      </c>
      <c r="M21" s="493">
        <f t="shared" si="17"/>
        <v>842.00357688448344</v>
      </c>
      <c r="N21" s="493">
        <f t="shared" si="17"/>
        <v>1220.905186482501</v>
      </c>
      <c r="O21" s="480">
        <f>SUM(C21:N21)</f>
        <v>10482.944532211819</v>
      </c>
      <c r="P21" s="305"/>
      <c r="Q21" s="305"/>
    </row>
    <row r="22" spans="1:17">
      <c r="A22" s="278" t="str">
        <f>'[1]Concentrado IMSS Y 2% Nomina'!B60</f>
        <v>2%/NOMINA</v>
      </c>
      <c r="B22" s="479">
        <v>2.2271699495918822E-2</v>
      </c>
      <c r="C22" s="493">
        <f>$C$15*$B$22</f>
        <v>868.59628034083403</v>
      </c>
      <c r="D22" s="493">
        <f t="shared" ref="D22:N22" si="18">$C$15*$B$22</f>
        <v>868.59628034083403</v>
      </c>
      <c r="E22" s="493">
        <f t="shared" si="18"/>
        <v>868.59628034083403</v>
      </c>
      <c r="F22" s="493">
        <f t="shared" si="18"/>
        <v>868.59628034083403</v>
      </c>
      <c r="G22" s="493">
        <f t="shared" si="18"/>
        <v>868.59628034083403</v>
      </c>
      <c r="H22" s="493">
        <f t="shared" si="18"/>
        <v>868.59628034083403</v>
      </c>
      <c r="I22" s="493">
        <f t="shared" si="18"/>
        <v>868.59628034083403</v>
      </c>
      <c r="J22" s="493">
        <f t="shared" si="18"/>
        <v>868.59628034083403</v>
      </c>
      <c r="K22" s="493">
        <f t="shared" si="18"/>
        <v>868.59628034083403</v>
      </c>
      <c r="L22" s="493">
        <f t="shared" si="18"/>
        <v>868.59628034083403</v>
      </c>
      <c r="M22" s="493">
        <f t="shared" si="18"/>
        <v>868.59628034083403</v>
      </c>
      <c r="N22" s="493">
        <f t="shared" si="18"/>
        <v>868.59628034083403</v>
      </c>
      <c r="O22" s="480">
        <f>SUM(C22:N22)</f>
        <v>10423.155364090009</v>
      </c>
      <c r="P22" s="305"/>
      <c r="Q22" s="305"/>
    </row>
    <row r="23" spans="1:17">
      <c r="A23" s="486" t="str">
        <f>'[1]Concentrado IMSS Y 2% Nomina'!B61</f>
        <v>TOTAL</v>
      </c>
      <c r="B23" s="486"/>
      <c r="C23" s="492">
        <f>SUM(C18:C22)</f>
        <v>11193.045714337775</v>
      </c>
      <c r="D23" s="489">
        <f t="shared" ref="D23:O23" si="19">SUM(D18:D22)</f>
        <v>11193.045714337775</v>
      </c>
      <c r="E23" s="489">
        <f t="shared" si="19"/>
        <v>11193.045714337775</v>
      </c>
      <c r="F23" s="489">
        <f t="shared" si="19"/>
        <v>11193.045714337775</v>
      </c>
      <c r="G23" s="489">
        <f t="shared" si="19"/>
        <v>11193.045714337775</v>
      </c>
      <c r="H23" s="489">
        <f t="shared" si="19"/>
        <v>11193.045714337775</v>
      </c>
      <c r="I23" s="489">
        <f t="shared" si="19"/>
        <v>11193.045714337775</v>
      </c>
      <c r="J23" s="489">
        <f t="shared" si="19"/>
        <v>11193.045714337775</v>
      </c>
      <c r="K23" s="489">
        <f t="shared" si="19"/>
        <v>11193.045714337775</v>
      </c>
      <c r="L23" s="489">
        <f t="shared" si="19"/>
        <v>11193.045714337775</v>
      </c>
      <c r="M23" s="489">
        <f t="shared" si="19"/>
        <v>11193.045714337775</v>
      </c>
      <c r="N23" s="489">
        <f t="shared" si="19"/>
        <v>15839.0479596364</v>
      </c>
      <c r="O23" s="489">
        <f t="shared" si="19"/>
        <v>138962.5508173519</v>
      </c>
      <c r="P23" s="305"/>
      <c r="Q23" s="305"/>
    </row>
    <row r="24" spans="1:17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</row>
    <row r="25" spans="1:17" ht="34">
      <c r="A25" s="490" t="s">
        <v>421</v>
      </c>
      <c r="B25" s="490"/>
      <c r="C25" s="491">
        <f>C15+C23</f>
        <v>50193.045714337772</v>
      </c>
      <c r="D25" s="491">
        <f t="shared" ref="D25:O25" si="20">D15+D23</f>
        <v>50193.045714337772</v>
      </c>
      <c r="E25" s="491">
        <f t="shared" si="20"/>
        <v>50193.045714337772</v>
      </c>
      <c r="F25" s="491">
        <f t="shared" si="20"/>
        <v>50193.045714337772</v>
      </c>
      <c r="G25" s="491">
        <f t="shared" si="20"/>
        <v>50193.045714337772</v>
      </c>
      <c r="H25" s="491">
        <f t="shared" si="20"/>
        <v>50193.045714337772</v>
      </c>
      <c r="I25" s="491">
        <f t="shared" si="20"/>
        <v>50193.045714337772</v>
      </c>
      <c r="J25" s="491">
        <f t="shared" si="20"/>
        <v>50193.045714337772</v>
      </c>
      <c r="K25" s="491">
        <f t="shared" si="20"/>
        <v>50193.045714337772</v>
      </c>
      <c r="L25" s="491">
        <f t="shared" si="20"/>
        <v>50193.045714337772</v>
      </c>
      <c r="M25" s="491">
        <f t="shared" si="20"/>
        <v>50193.045714337772</v>
      </c>
      <c r="N25" s="491">
        <f t="shared" si="20"/>
        <v>72389.047959636402</v>
      </c>
      <c r="O25" s="491">
        <f t="shared" si="20"/>
        <v>624512.5508173519</v>
      </c>
      <c r="P25" s="305"/>
      <c r="Q25" s="305"/>
    </row>
    <row r="26" spans="1:17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</row>
    <row r="27" spans="1:17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</row>
    <row r="28" spans="1:17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</row>
    <row r="29" spans="1:17" ht="22.5" customHeight="1">
      <c r="A29" s="481" t="s">
        <v>403</v>
      </c>
      <c r="B29" s="481"/>
      <c r="C29" s="481"/>
      <c r="D29" s="481"/>
      <c r="E29" s="481"/>
      <c r="F29" s="481"/>
      <c r="G29" s="481"/>
      <c r="H29" s="481"/>
      <c r="I29" s="481"/>
      <c r="J29" s="305"/>
      <c r="K29" s="305"/>
      <c r="L29" s="305"/>
      <c r="M29" s="305"/>
      <c r="N29" s="305"/>
      <c r="O29" s="305"/>
      <c r="P29" s="305"/>
      <c r="Q29" s="305"/>
    </row>
    <row r="30" spans="1:17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</row>
    <row r="31" spans="1:17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</row>
    <row r="32" spans="1:17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</row>
    <row r="33" spans="1:17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P33" s="305"/>
      <c r="Q33" s="305"/>
    </row>
    <row r="34" spans="1:17">
      <c r="P34" s="305"/>
      <c r="Q34" s="305"/>
    </row>
    <row r="35" spans="1:17">
      <c r="P35" s="305"/>
      <c r="Q35" s="305"/>
    </row>
    <row r="36" spans="1:17">
      <c r="P36" s="305"/>
      <c r="Q36" s="305"/>
    </row>
    <row r="37" spans="1:17">
      <c r="P37" s="305"/>
      <c r="Q37" s="305"/>
    </row>
    <row r="38" spans="1:17">
      <c r="P38" s="305"/>
      <c r="Q38" s="305"/>
    </row>
    <row r="39" spans="1:17">
      <c r="P39" s="305"/>
      <c r="Q39" s="305"/>
    </row>
    <row r="40" spans="1:17">
      <c r="P40" s="305"/>
      <c r="Q40" s="305"/>
    </row>
    <row r="41" spans="1:17">
      <c r="P41" s="305"/>
      <c r="Q41" s="305"/>
    </row>
    <row r="42" spans="1:17">
      <c r="P42" s="305"/>
      <c r="Q42" s="305"/>
    </row>
    <row r="43" spans="1:17">
      <c r="P43" s="305"/>
      <c r="Q43" s="305"/>
    </row>
    <row r="44" spans="1:17">
      <c r="P44" s="305"/>
      <c r="Q44" s="305"/>
    </row>
    <row r="45" spans="1:17">
      <c r="P45" s="305"/>
      <c r="Q45" s="305"/>
    </row>
    <row r="46" spans="1:17">
      <c r="P46" s="305"/>
      <c r="Q46" s="305"/>
    </row>
    <row r="47" spans="1:17">
      <c r="P47" s="305"/>
      <c r="Q47" s="305"/>
    </row>
    <row r="48" spans="1:17">
      <c r="P48" s="305"/>
      <c r="Q48" s="305"/>
    </row>
    <row r="49" spans="16:17">
      <c r="P49" s="305"/>
      <c r="Q49" s="305"/>
    </row>
    <row r="50" spans="16:17">
      <c r="P50" s="305"/>
      <c r="Q50" s="305"/>
    </row>
    <row r="51" spans="16:17">
      <c r="P51" s="305"/>
      <c r="Q51" s="305"/>
    </row>
    <row r="52" spans="16:17">
      <c r="P52" s="305"/>
      <c r="Q52" s="305"/>
    </row>
    <row r="53" spans="16:17">
      <c r="P53" s="305"/>
      <c r="Q53" s="305"/>
    </row>
    <row r="54" spans="16:17">
      <c r="P54" s="305"/>
      <c r="Q54" s="305"/>
    </row>
    <row r="55" spans="16:17">
      <c r="P55" s="305"/>
      <c r="Q55" s="305"/>
    </row>
    <row r="56" spans="16:17">
      <c r="P56" s="305"/>
      <c r="Q56" s="305"/>
    </row>
    <row r="57" spans="16:17">
      <c r="P57" s="305"/>
      <c r="Q57" s="305"/>
    </row>
    <row r="58" spans="16:17">
      <c r="P58" s="305"/>
      <c r="Q58" s="305"/>
    </row>
    <row r="59" spans="16:17">
      <c r="P59" s="305"/>
      <c r="Q59" s="305"/>
    </row>
    <row r="60" spans="16:17">
      <c r="P60" s="305"/>
      <c r="Q60" s="305"/>
    </row>
    <row r="61" spans="16:17">
      <c r="P61" s="305"/>
      <c r="Q61" s="305"/>
    </row>
    <row r="62" spans="16:17">
      <c r="P62" s="305"/>
      <c r="Q62" s="305"/>
    </row>
    <row r="63" spans="16:17">
      <c r="P63" s="305"/>
      <c r="Q63" s="305"/>
    </row>
    <row r="64" spans="16:17">
      <c r="P64" s="305"/>
      <c r="Q64" s="305"/>
    </row>
    <row r="65" spans="16:17">
      <c r="P65" s="305"/>
      <c r="Q65" s="305"/>
    </row>
    <row r="66" spans="16:17">
      <c r="P66" s="305"/>
      <c r="Q66" s="305"/>
    </row>
    <row r="67" spans="16:17">
      <c r="P67" s="305"/>
      <c r="Q67" s="305"/>
    </row>
    <row r="68" spans="16:17">
      <c r="P68" s="305"/>
      <c r="Q68" s="305"/>
    </row>
    <row r="69" spans="16:17">
      <c r="P69" s="305"/>
      <c r="Q69" s="305"/>
    </row>
    <row r="70" spans="16:17">
      <c r="P70" s="305"/>
      <c r="Q70" s="305"/>
    </row>
    <row r="71" spans="16:17">
      <c r="P71" s="305"/>
      <c r="Q71" s="305"/>
    </row>
    <row r="72" spans="16:17">
      <c r="P72" s="305"/>
      <c r="Q72" s="305"/>
    </row>
    <row r="73" spans="16:17">
      <c r="P73" s="305"/>
      <c r="Q73" s="305"/>
    </row>
    <row r="74" spans="16:17">
      <c r="P74" s="305"/>
      <c r="Q74" s="305"/>
    </row>
    <row r="75" spans="16:17">
      <c r="P75" s="305"/>
      <c r="Q75" s="305"/>
    </row>
    <row r="76" spans="16:17">
      <c r="P76" s="305"/>
      <c r="Q76" s="305"/>
    </row>
    <row r="77" spans="16:17">
      <c r="P77" s="305"/>
      <c r="Q77" s="305"/>
    </row>
    <row r="78" spans="16:17">
      <c r="P78" s="305"/>
      <c r="Q78" s="305"/>
    </row>
    <row r="79" spans="16:17">
      <c r="P79" s="305"/>
      <c r="Q79" s="305"/>
    </row>
    <row r="80" spans="16:17">
      <c r="P80" s="305"/>
      <c r="Q80" s="305"/>
    </row>
    <row r="81" spans="16:17">
      <c r="P81" s="305"/>
      <c r="Q81" s="305"/>
    </row>
    <row r="82" spans="16:17">
      <c r="P82" s="305"/>
      <c r="Q82" s="305"/>
    </row>
    <row r="83" spans="16:17">
      <c r="P83" s="305"/>
      <c r="Q83" s="305"/>
    </row>
    <row r="84" spans="16:17">
      <c r="P84" s="305"/>
      <c r="Q84" s="305"/>
    </row>
    <row r="85" spans="16:17">
      <c r="P85" s="305"/>
      <c r="Q85" s="305"/>
    </row>
    <row r="86" spans="16:17">
      <c r="P86" s="305"/>
      <c r="Q86" s="305"/>
    </row>
    <row r="87" spans="16:17">
      <c r="P87" s="305"/>
      <c r="Q87" s="305"/>
    </row>
    <row r="88" spans="16:17">
      <c r="P88" s="305"/>
      <c r="Q88" s="305"/>
    </row>
    <row r="89" spans="16:17">
      <c r="P89" s="305"/>
      <c r="Q89" s="305"/>
    </row>
    <row r="90" spans="16:17">
      <c r="P90" s="305"/>
      <c r="Q90" s="305"/>
    </row>
    <row r="91" spans="16:17">
      <c r="P91" s="305"/>
      <c r="Q91" s="305"/>
    </row>
    <row r="92" spans="16:17">
      <c r="P92" s="305"/>
      <c r="Q92" s="305"/>
    </row>
    <row r="93" spans="16:17">
      <c r="P93" s="305"/>
      <c r="Q93" s="305"/>
    </row>
    <row r="94" spans="16:17">
      <c r="P94" s="305"/>
      <c r="Q94" s="305"/>
    </row>
  </sheetData>
  <mergeCells count="10">
    <mergeCell ref="A17:B17"/>
    <mergeCell ref="A2:J2"/>
    <mergeCell ref="O6:O7"/>
    <mergeCell ref="L6:L7"/>
    <mergeCell ref="A6:A7"/>
    <mergeCell ref="C6:C7"/>
    <mergeCell ref="D6:D7"/>
    <mergeCell ref="E6:E7"/>
    <mergeCell ref="F6:F7"/>
    <mergeCell ref="G6:G7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P31"/>
  <sheetViews>
    <sheetView zoomScale="160" zoomScaleNormal="160" workbookViewId="0">
      <selection activeCell="A16" sqref="A16"/>
    </sheetView>
  </sheetViews>
  <sheetFormatPr baseColWidth="10" defaultColWidth="11" defaultRowHeight="13"/>
  <cols>
    <col min="1" max="1" width="31.1640625" style="187" customWidth="1"/>
    <col min="2" max="12" width="13.5" style="187" bestFit="1" customWidth="1"/>
    <col min="13" max="13" width="17.5" style="187" customWidth="1"/>
    <col min="14" max="14" width="15.33203125" style="187" customWidth="1"/>
    <col min="15" max="16384" width="11" style="187"/>
  </cols>
  <sheetData>
    <row r="1" spans="1:16">
      <c r="A1" s="494">
        <f>'Nomina año 1 '!A2:J2</f>
        <v>0</v>
      </c>
      <c r="B1" s="305"/>
      <c r="C1" s="305"/>
      <c r="D1" s="305"/>
      <c r="E1" s="305"/>
      <c r="F1" s="305">
        <f>'Nomina año 1 '!A2:J2</f>
        <v>0</v>
      </c>
      <c r="G1" s="305"/>
      <c r="H1" s="305"/>
      <c r="I1" s="305"/>
      <c r="J1" s="305"/>
      <c r="K1" s="305"/>
      <c r="L1" s="305"/>
      <c r="M1" s="305"/>
      <c r="N1" s="305"/>
      <c r="O1" s="305"/>
    </row>
    <row r="2" spans="1:16" ht="14" thickBo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6" ht="20" thickBot="1">
      <c r="A3" s="305"/>
      <c r="B3" s="305"/>
      <c r="C3" s="305"/>
      <c r="D3" s="305"/>
      <c r="E3" s="957" t="s">
        <v>320</v>
      </c>
      <c r="F3" s="496"/>
      <c r="G3" s="956"/>
      <c r="H3" s="497"/>
      <c r="I3" s="498"/>
      <c r="J3" s="305"/>
      <c r="K3" s="305"/>
      <c r="L3" s="305"/>
      <c r="M3" s="305"/>
      <c r="N3" s="305"/>
      <c r="O3" s="305"/>
      <c r="P3" s="305"/>
    </row>
    <row r="4" spans="1:16" ht="14" thickBot="1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</row>
    <row r="5" spans="1:16" ht="14" thickTop="1">
      <c r="A5" s="1212" t="s">
        <v>318</v>
      </c>
      <c r="B5" s="1212" t="s">
        <v>38</v>
      </c>
      <c r="C5" s="1212" t="s">
        <v>39</v>
      </c>
      <c r="D5" s="1212" t="s">
        <v>40</v>
      </c>
      <c r="E5" s="1212" t="s">
        <v>41</v>
      </c>
      <c r="F5" s="1212" t="s">
        <v>42</v>
      </c>
      <c r="G5" s="1212" t="s">
        <v>43</v>
      </c>
      <c r="H5" s="1212" t="s">
        <v>44</v>
      </c>
      <c r="I5" s="1212" t="s">
        <v>45</v>
      </c>
      <c r="J5" s="1212" t="s">
        <v>46</v>
      </c>
      <c r="K5" s="1212" t="s">
        <v>47</v>
      </c>
      <c r="L5" s="1212" t="s">
        <v>48</v>
      </c>
      <c r="M5" s="1212" t="s">
        <v>49</v>
      </c>
      <c r="N5" s="1212" t="s">
        <v>35</v>
      </c>
      <c r="O5" s="305"/>
      <c r="P5" s="305"/>
    </row>
    <row r="6" spans="1:16" ht="14" thickBot="1">
      <c r="A6" s="1217"/>
      <c r="B6" s="1217"/>
      <c r="C6" s="1217" t="s">
        <v>39</v>
      </c>
      <c r="D6" s="1217" t="s">
        <v>40</v>
      </c>
      <c r="E6" s="1217" t="s">
        <v>41</v>
      </c>
      <c r="F6" s="1217" t="s">
        <v>42</v>
      </c>
      <c r="G6" s="1217" t="s">
        <v>43</v>
      </c>
      <c r="H6" s="1217" t="s">
        <v>44</v>
      </c>
      <c r="I6" s="1217" t="s">
        <v>45</v>
      </c>
      <c r="J6" s="1217" t="s">
        <v>46</v>
      </c>
      <c r="K6" s="1217" t="s">
        <v>47</v>
      </c>
      <c r="L6" s="1217" t="s">
        <v>48</v>
      </c>
      <c r="M6" s="1217" t="s">
        <v>49</v>
      </c>
      <c r="N6" s="1217"/>
      <c r="O6" s="305"/>
      <c r="P6" s="305"/>
    </row>
    <row r="7" spans="1:16" ht="14" thickTop="1">
      <c r="A7" s="305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</row>
    <row r="8" spans="1:16">
      <c r="A8" s="305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</row>
    <row r="9" spans="1:16">
      <c r="A9" s="438" t="s">
        <v>302</v>
      </c>
      <c r="B9" s="480">
        <f>'Nomina año 1 '!C25</f>
        <v>50193.045714337772</v>
      </c>
      <c r="C9" s="480">
        <f>'Nomina año 1 '!D25</f>
        <v>50193.045714337772</v>
      </c>
      <c r="D9" s="480">
        <f>'Nomina año 1 '!E25</f>
        <v>50193.045714337772</v>
      </c>
      <c r="E9" s="480">
        <f>'Nomina año 1 '!F25</f>
        <v>50193.045714337772</v>
      </c>
      <c r="F9" s="480">
        <f>'Nomina año 1 '!G25</f>
        <v>50193.045714337772</v>
      </c>
      <c r="G9" s="480">
        <f>'Nomina año 1 '!H25</f>
        <v>50193.045714337772</v>
      </c>
      <c r="H9" s="480">
        <f>'Nomina año 1 '!I25</f>
        <v>50193.045714337772</v>
      </c>
      <c r="I9" s="480">
        <f>'Nomina año 1 '!J25</f>
        <v>50193.045714337772</v>
      </c>
      <c r="J9" s="480">
        <f>'Nomina año 1 '!K25</f>
        <v>50193.045714337772</v>
      </c>
      <c r="K9" s="480">
        <f>'Nomina año 1 '!L25</f>
        <v>50193.045714337772</v>
      </c>
      <c r="L9" s="480">
        <f>'Nomina año 1 '!M25</f>
        <v>50193.045714337772</v>
      </c>
      <c r="M9" s="480">
        <f>'Nomina año 1 '!N25</f>
        <v>72389.047959636402</v>
      </c>
      <c r="N9" s="502">
        <f t="shared" ref="N9:N20" si="0">SUM(B9:M9)</f>
        <v>624512.55081735202</v>
      </c>
      <c r="O9" s="305"/>
      <c r="P9" s="305"/>
    </row>
    <row r="10" spans="1:16">
      <c r="A10" s="958" t="s">
        <v>501</v>
      </c>
      <c r="B10" s="1118">
        <v>2000</v>
      </c>
      <c r="C10" s="480">
        <f t="shared" ref="C10:C20" si="1">B10</f>
        <v>2000</v>
      </c>
      <c r="D10" s="480">
        <f t="shared" ref="D10:M11" si="2">C10</f>
        <v>2000</v>
      </c>
      <c r="E10" s="480">
        <f t="shared" si="2"/>
        <v>2000</v>
      </c>
      <c r="F10" s="480">
        <f t="shared" si="2"/>
        <v>2000</v>
      </c>
      <c r="G10" s="480">
        <f t="shared" si="2"/>
        <v>2000</v>
      </c>
      <c r="H10" s="480">
        <f t="shared" si="2"/>
        <v>2000</v>
      </c>
      <c r="I10" s="480">
        <f t="shared" si="2"/>
        <v>2000</v>
      </c>
      <c r="J10" s="480">
        <f t="shared" si="2"/>
        <v>2000</v>
      </c>
      <c r="K10" s="480">
        <f t="shared" si="2"/>
        <v>2000</v>
      </c>
      <c r="L10" s="480">
        <f t="shared" si="2"/>
        <v>2000</v>
      </c>
      <c r="M10" s="480">
        <f t="shared" si="2"/>
        <v>2000</v>
      </c>
      <c r="N10" s="502">
        <f t="shared" si="0"/>
        <v>24000</v>
      </c>
      <c r="O10" s="305"/>
      <c r="P10" s="305"/>
    </row>
    <row r="11" spans="1:16">
      <c r="A11" s="958" t="s">
        <v>502</v>
      </c>
      <c r="B11" s="1108">
        <v>3000</v>
      </c>
      <c r="C11" s="480">
        <f t="shared" si="1"/>
        <v>3000</v>
      </c>
      <c r="D11" s="480">
        <f t="shared" ref="D11:G13" si="3">C11</f>
        <v>3000</v>
      </c>
      <c r="E11" s="480">
        <f t="shared" si="3"/>
        <v>3000</v>
      </c>
      <c r="F11" s="480">
        <f t="shared" si="3"/>
        <v>3000</v>
      </c>
      <c r="G11" s="480">
        <f t="shared" si="3"/>
        <v>3000</v>
      </c>
      <c r="H11" s="480">
        <f t="shared" si="2"/>
        <v>3000</v>
      </c>
      <c r="I11" s="480">
        <f t="shared" si="2"/>
        <v>3000</v>
      </c>
      <c r="J11" s="480">
        <f t="shared" si="2"/>
        <v>3000</v>
      </c>
      <c r="K11" s="480">
        <f t="shared" si="2"/>
        <v>3000</v>
      </c>
      <c r="L11" s="480">
        <f t="shared" si="2"/>
        <v>3000</v>
      </c>
      <c r="M11" s="480">
        <f t="shared" si="2"/>
        <v>3000</v>
      </c>
      <c r="N11" s="502">
        <f t="shared" si="0"/>
        <v>36000</v>
      </c>
      <c r="O11" s="305"/>
      <c r="P11" s="305"/>
    </row>
    <row r="12" spans="1:16">
      <c r="A12" s="958" t="s">
        <v>485</v>
      </c>
      <c r="B12" s="1108">
        <v>30000</v>
      </c>
      <c r="C12" s="480">
        <f t="shared" si="1"/>
        <v>30000</v>
      </c>
      <c r="D12" s="480">
        <f t="shared" si="3"/>
        <v>30000</v>
      </c>
      <c r="E12" s="480">
        <f t="shared" si="3"/>
        <v>30000</v>
      </c>
      <c r="F12" s="480">
        <f t="shared" si="3"/>
        <v>30000</v>
      </c>
      <c r="G12" s="480">
        <f t="shared" si="3"/>
        <v>30000</v>
      </c>
      <c r="H12" s="480">
        <f t="shared" ref="H12:M12" si="4">G12</f>
        <v>30000</v>
      </c>
      <c r="I12" s="480">
        <f t="shared" si="4"/>
        <v>30000</v>
      </c>
      <c r="J12" s="480">
        <f t="shared" si="4"/>
        <v>30000</v>
      </c>
      <c r="K12" s="480">
        <f t="shared" si="4"/>
        <v>30000</v>
      </c>
      <c r="L12" s="480">
        <f t="shared" si="4"/>
        <v>30000</v>
      </c>
      <c r="M12" s="480">
        <f t="shared" si="4"/>
        <v>30000</v>
      </c>
      <c r="N12" s="502">
        <f t="shared" si="0"/>
        <v>360000</v>
      </c>
      <c r="O12" s="305"/>
      <c r="P12" s="305"/>
    </row>
    <row r="13" spans="1:16">
      <c r="A13" s="958" t="s">
        <v>505</v>
      </c>
      <c r="B13" s="480">
        <v>10000</v>
      </c>
      <c r="C13" s="480">
        <f>B13</f>
        <v>10000</v>
      </c>
      <c r="D13" s="480">
        <f t="shared" si="3"/>
        <v>10000</v>
      </c>
      <c r="E13" s="480">
        <f t="shared" si="3"/>
        <v>10000</v>
      </c>
      <c r="F13" s="480">
        <f t="shared" si="3"/>
        <v>10000</v>
      </c>
      <c r="G13" s="480">
        <f t="shared" si="3"/>
        <v>10000</v>
      </c>
      <c r="H13" s="480">
        <v>0</v>
      </c>
      <c r="I13" s="480">
        <v>0</v>
      </c>
      <c r="J13" s="480">
        <v>0</v>
      </c>
      <c r="K13" s="480">
        <v>0</v>
      </c>
      <c r="L13" s="480">
        <v>0</v>
      </c>
      <c r="M13" s="480">
        <v>0</v>
      </c>
      <c r="N13" s="502">
        <f>SUM(B13:M13)</f>
        <v>60000</v>
      </c>
      <c r="O13" s="305"/>
      <c r="P13" s="305"/>
    </row>
    <row r="14" spans="1:16">
      <c r="A14" s="187" t="s">
        <v>506</v>
      </c>
      <c r="B14" s="480">
        <v>7000</v>
      </c>
      <c r="C14" s="480">
        <f>B14</f>
        <v>7000</v>
      </c>
      <c r="D14" s="480">
        <f t="shared" ref="D14:D20" si="5">C14</f>
        <v>7000</v>
      </c>
      <c r="E14" s="480">
        <f t="shared" ref="E14:E20" si="6">D14</f>
        <v>7000</v>
      </c>
      <c r="F14" s="480">
        <f t="shared" ref="F14:F20" si="7">E14</f>
        <v>7000</v>
      </c>
      <c r="G14" s="480">
        <f t="shared" ref="G14:G20" si="8">F14</f>
        <v>7000</v>
      </c>
      <c r="H14" s="480">
        <f t="shared" ref="H14:H20" si="9">G14</f>
        <v>7000</v>
      </c>
      <c r="I14" s="480">
        <f t="shared" ref="I14:I20" si="10">H14</f>
        <v>7000</v>
      </c>
      <c r="J14" s="480">
        <f t="shared" ref="J14:J20" si="11">I14</f>
        <v>7000</v>
      </c>
      <c r="K14" s="480">
        <f t="shared" ref="K14:K20" si="12">J14</f>
        <v>7000</v>
      </c>
      <c r="L14" s="480">
        <f t="shared" ref="L14:L20" si="13">K14</f>
        <v>7000</v>
      </c>
      <c r="M14" s="480">
        <f t="shared" ref="M14:M20" si="14">L14</f>
        <v>7000</v>
      </c>
      <c r="N14" s="502">
        <f t="shared" si="0"/>
        <v>84000</v>
      </c>
      <c r="O14" s="305"/>
      <c r="P14" s="305"/>
    </row>
    <row r="15" spans="1:16">
      <c r="A15" s="958" t="s">
        <v>507</v>
      </c>
      <c r="B15" s="480">
        <v>4000</v>
      </c>
      <c r="C15" s="480">
        <f>B15</f>
        <v>4000</v>
      </c>
      <c r="D15" s="480">
        <f t="shared" si="5"/>
        <v>4000</v>
      </c>
      <c r="E15" s="480">
        <f t="shared" si="6"/>
        <v>4000</v>
      </c>
      <c r="F15" s="480">
        <f t="shared" si="7"/>
        <v>4000</v>
      </c>
      <c r="G15" s="480">
        <f t="shared" si="8"/>
        <v>4000</v>
      </c>
      <c r="H15" s="480">
        <f t="shared" si="9"/>
        <v>4000</v>
      </c>
      <c r="I15" s="480">
        <f t="shared" si="10"/>
        <v>4000</v>
      </c>
      <c r="J15" s="480">
        <f t="shared" si="11"/>
        <v>4000</v>
      </c>
      <c r="K15" s="480">
        <f t="shared" si="12"/>
        <v>4000</v>
      </c>
      <c r="L15" s="480">
        <f t="shared" si="13"/>
        <v>4000</v>
      </c>
      <c r="M15" s="480">
        <f t="shared" si="14"/>
        <v>4000</v>
      </c>
      <c r="N15" s="502">
        <f t="shared" si="0"/>
        <v>48000</v>
      </c>
      <c r="O15" s="305"/>
      <c r="P15" s="305"/>
    </row>
    <row r="16" spans="1:16">
      <c r="A16" s="958"/>
      <c r="B16" s="480">
        <v>0</v>
      </c>
      <c r="C16" s="480">
        <f t="shared" si="1"/>
        <v>0</v>
      </c>
      <c r="D16" s="480">
        <f t="shared" si="5"/>
        <v>0</v>
      </c>
      <c r="E16" s="480">
        <f t="shared" si="6"/>
        <v>0</v>
      </c>
      <c r="F16" s="480">
        <f t="shared" si="7"/>
        <v>0</v>
      </c>
      <c r="G16" s="480">
        <f t="shared" si="8"/>
        <v>0</v>
      </c>
      <c r="H16" s="480">
        <f t="shared" si="9"/>
        <v>0</v>
      </c>
      <c r="I16" s="480">
        <f t="shared" si="10"/>
        <v>0</v>
      </c>
      <c r="J16" s="480">
        <f t="shared" si="11"/>
        <v>0</v>
      </c>
      <c r="K16" s="480">
        <f t="shared" si="12"/>
        <v>0</v>
      </c>
      <c r="L16" s="480">
        <f t="shared" si="13"/>
        <v>0</v>
      </c>
      <c r="M16" s="480">
        <f t="shared" si="14"/>
        <v>0</v>
      </c>
      <c r="N16" s="502">
        <f t="shared" si="0"/>
        <v>0</v>
      </c>
      <c r="O16" s="305"/>
      <c r="P16" s="305"/>
    </row>
    <row r="17" spans="1:16">
      <c r="A17" s="958"/>
      <c r="B17" s="480">
        <v>0</v>
      </c>
      <c r="C17" s="480">
        <v>0</v>
      </c>
      <c r="D17" s="480">
        <v>0</v>
      </c>
      <c r="E17" s="480">
        <v>0</v>
      </c>
      <c r="F17" s="480">
        <v>0</v>
      </c>
      <c r="G17" s="480">
        <v>0</v>
      </c>
      <c r="H17" s="480">
        <v>0</v>
      </c>
      <c r="I17" s="480">
        <v>0</v>
      </c>
      <c r="J17" s="480">
        <v>0</v>
      </c>
      <c r="K17" s="480">
        <v>0</v>
      </c>
      <c r="L17" s="480">
        <v>0</v>
      </c>
      <c r="M17" s="480">
        <v>0</v>
      </c>
      <c r="N17" s="502">
        <f t="shared" si="0"/>
        <v>0</v>
      </c>
      <c r="O17" s="305"/>
      <c r="P17" s="305"/>
    </row>
    <row r="18" spans="1:16">
      <c r="B18" s="480">
        <v>0</v>
      </c>
      <c r="C18" s="480">
        <f t="shared" si="1"/>
        <v>0</v>
      </c>
      <c r="D18" s="480">
        <f t="shared" si="5"/>
        <v>0</v>
      </c>
      <c r="E18" s="480">
        <f t="shared" si="6"/>
        <v>0</v>
      </c>
      <c r="F18" s="480">
        <f t="shared" si="7"/>
        <v>0</v>
      </c>
      <c r="G18" s="480">
        <f t="shared" si="8"/>
        <v>0</v>
      </c>
      <c r="H18" s="480">
        <f t="shared" si="9"/>
        <v>0</v>
      </c>
      <c r="I18" s="480">
        <f t="shared" si="10"/>
        <v>0</v>
      </c>
      <c r="J18" s="480">
        <f t="shared" si="11"/>
        <v>0</v>
      </c>
      <c r="K18" s="480">
        <f t="shared" si="12"/>
        <v>0</v>
      </c>
      <c r="L18" s="480">
        <f t="shared" si="13"/>
        <v>0</v>
      </c>
      <c r="M18" s="480">
        <f t="shared" si="14"/>
        <v>0</v>
      </c>
      <c r="N18" s="502">
        <f t="shared" si="0"/>
        <v>0</v>
      </c>
      <c r="O18" s="305"/>
      <c r="P18" s="305"/>
    </row>
    <row r="19" spans="1:16">
      <c r="A19" s="958"/>
      <c r="B19" s="480">
        <v>0</v>
      </c>
      <c r="C19" s="480">
        <f t="shared" si="1"/>
        <v>0</v>
      </c>
      <c r="D19" s="480">
        <f t="shared" si="5"/>
        <v>0</v>
      </c>
      <c r="E19" s="480">
        <f t="shared" si="6"/>
        <v>0</v>
      </c>
      <c r="F19" s="480">
        <f t="shared" si="7"/>
        <v>0</v>
      </c>
      <c r="G19" s="480">
        <f t="shared" si="8"/>
        <v>0</v>
      </c>
      <c r="H19" s="480">
        <f t="shared" si="9"/>
        <v>0</v>
      </c>
      <c r="I19" s="480">
        <f t="shared" si="10"/>
        <v>0</v>
      </c>
      <c r="J19" s="480">
        <f t="shared" si="11"/>
        <v>0</v>
      </c>
      <c r="K19" s="480">
        <f t="shared" si="12"/>
        <v>0</v>
      </c>
      <c r="L19" s="480">
        <f t="shared" si="13"/>
        <v>0</v>
      </c>
      <c r="M19" s="480">
        <f t="shared" si="14"/>
        <v>0</v>
      </c>
      <c r="N19" s="502">
        <f t="shared" si="0"/>
        <v>0</v>
      </c>
      <c r="O19" s="305"/>
      <c r="P19" s="305"/>
    </row>
    <row r="20" spans="1:16" ht="14" thickBot="1">
      <c r="A20" s="959"/>
      <c r="B20" s="960">
        <v>0</v>
      </c>
      <c r="C20" s="480">
        <f t="shared" si="1"/>
        <v>0</v>
      </c>
      <c r="D20" s="480">
        <f t="shared" si="5"/>
        <v>0</v>
      </c>
      <c r="E20" s="480">
        <f t="shared" si="6"/>
        <v>0</v>
      </c>
      <c r="F20" s="480">
        <f t="shared" si="7"/>
        <v>0</v>
      </c>
      <c r="G20" s="480">
        <f t="shared" si="8"/>
        <v>0</v>
      </c>
      <c r="H20" s="480">
        <f t="shared" si="9"/>
        <v>0</v>
      </c>
      <c r="I20" s="480">
        <f t="shared" si="10"/>
        <v>0</v>
      </c>
      <c r="J20" s="480">
        <f t="shared" si="11"/>
        <v>0</v>
      </c>
      <c r="K20" s="480">
        <f t="shared" si="12"/>
        <v>0</v>
      </c>
      <c r="L20" s="480">
        <f t="shared" si="13"/>
        <v>0</v>
      </c>
      <c r="M20" s="480">
        <f t="shared" si="14"/>
        <v>0</v>
      </c>
      <c r="N20" s="502">
        <f t="shared" si="0"/>
        <v>0</v>
      </c>
      <c r="O20" s="305"/>
      <c r="P20" s="305"/>
    </row>
    <row r="21" spans="1:16" ht="15" thickBot="1">
      <c r="A21" s="499" t="s">
        <v>213</v>
      </c>
      <c r="B21" s="500">
        <f>SUM(B9:B20)</f>
        <v>106193.04571433777</v>
      </c>
      <c r="C21" s="500">
        <f t="shared" ref="C21:M21" si="15">SUM(C9:C20)</f>
        <v>106193.04571433777</v>
      </c>
      <c r="D21" s="500">
        <f t="shared" si="15"/>
        <v>106193.04571433777</v>
      </c>
      <c r="E21" s="500">
        <f t="shared" si="15"/>
        <v>106193.04571433777</v>
      </c>
      <c r="F21" s="500">
        <f t="shared" si="15"/>
        <v>106193.04571433777</v>
      </c>
      <c r="G21" s="500">
        <f t="shared" si="15"/>
        <v>106193.04571433777</v>
      </c>
      <c r="H21" s="500">
        <f t="shared" si="15"/>
        <v>96193.045714337772</v>
      </c>
      <c r="I21" s="500">
        <f t="shared" si="15"/>
        <v>96193.045714337772</v>
      </c>
      <c r="J21" s="500">
        <f t="shared" si="15"/>
        <v>96193.045714337772</v>
      </c>
      <c r="K21" s="500">
        <f t="shared" si="15"/>
        <v>96193.045714337772</v>
      </c>
      <c r="L21" s="500">
        <f t="shared" si="15"/>
        <v>96193.045714337772</v>
      </c>
      <c r="M21" s="500">
        <f t="shared" si="15"/>
        <v>118389.0479596364</v>
      </c>
      <c r="N21" s="501">
        <f>SUM(N9:N20)</f>
        <v>1236512.550817352</v>
      </c>
      <c r="O21" s="305"/>
      <c r="P21" s="305"/>
    </row>
    <row r="22" spans="1:16">
      <c r="A22" s="305"/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</row>
    <row r="23" spans="1:16">
      <c r="A23" s="305"/>
      <c r="B23" s="49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</row>
    <row r="24" spans="1:16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</row>
    <row r="25" spans="1:16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</row>
    <row r="26" spans="1:16" ht="20.25" customHeight="1">
      <c r="A26" s="481" t="s">
        <v>404</v>
      </c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305"/>
      <c r="M26" s="305"/>
      <c r="N26" s="305"/>
      <c r="O26" s="305"/>
    </row>
    <row r="27" spans="1:16">
      <c r="L27" s="305"/>
      <c r="M27" s="305"/>
      <c r="N27" s="305"/>
      <c r="O27" s="305"/>
    </row>
    <row r="28" spans="1:16">
      <c r="L28" s="305"/>
      <c r="M28" s="305"/>
      <c r="N28" s="305"/>
      <c r="O28" s="305"/>
    </row>
    <row r="29" spans="1:16">
      <c r="L29" s="305"/>
      <c r="M29" s="305"/>
      <c r="N29" s="305"/>
      <c r="O29" s="305"/>
    </row>
    <row r="30" spans="1:16">
      <c r="L30" s="305"/>
      <c r="M30" s="305"/>
      <c r="N30" s="305"/>
      <c r="O30" s="305"/>
    </row>
    <row r="31" spans="1:16">
      <c r="L31" s="305"/>
      <c r="M31" s="305"/>
      <c r="N31" s="305"/>
      <c r="O31" s="305"/>
    </row>
  </sheetData>
  <mergeCells count="14">
    <mergeCell ref="F5:F6"/>
    <mergeCell ref="M5:M6"/>
    <mergeCell ref="N5:N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</mergeCells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4</vt:i4>
      </vt:variant>
    </vt:vector>
  </HeadingPairs>
  <TitlesOfParts>
    <vt:vector size="23" baseType="lpstr">
      <vt:lpstr>INVERSION</vt:lpstr>
      <vt:lpstr>Balance Inic</vt:lpstr>
      <vt:lpstr>Pago Financiamto</vt:lpstr>
      <vt:lpstr>Pres.Ventas</vt:lpstr>
      <vt:lpstr>DATOS COST UNIT.</vt:lpstr>
      <vt:lpstr>Costo de Prod</vt:lpstr>
      <vt:lpstr>Pres. de compras año 1</vt:lpstr>
      <vt:lpstr>Nomina año 1 </vt:lpstr>
      <vt:lpstr>Pres. Costos Fijos año 1</vt:lpstr>
      <vt:lpstr>Inventario año 1</vt:lpstr>
      <vt:lpstr>Concent, Vtas, CdeV, Gastos A1</vt:lpstr>
      <vt:lpstr>Flujo Efec mensual 5 Años</vt:lpstr>
      <vt:lpstr> Deprec. 5 años</vt:lpstr>
      <vt:lpstr>Edo.Result Proy</vt:lpstr>
      <vt:lpstr>Balances Proy</vt:lpstr>
      <vt:lpstr>Razones Fin</vt:lpstr>
      <vt:lpstr>P Equilibrio</vt:lpstr>
      <vt:lpstr>VAN TIR</vt:lpstr>
      <vt:lpstr>SENSIBILIDAD</vt:lpstr>
      <vt:lpstr>'Edo.Result Proy'!Área_de_impresión</vt:lpstr>
      <vt:lpstr>'Flujo Efec mensual 5 Años'!Área_de_impresión</vt:lpstr>
      <vt:lpstr>INVERSION!Área_de_impresión</vt:lpstr>
      <vt:lpstr>'Flujo Efec mensual 5 Años'!Títulos_a_imprimir</vt:lpstr>
    </vt:vector>
  </TitlesOfParts>
  <Company>FONAES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DE INFORMATICA</dc:creator>
  <cp:lastModifiedBy>Microsoft Office User</cp:lastModifiedBy>
  <cp:lastPrinted>2017-11-12T04:12:47Z</cp:lastPrinted>
  <dcterms:created xsi:type="dcterms:W3CDTF">2001-05-17T17:01:26Z</dcterms:created>
  <dcterms:modified xsi:type="dcterms:W3CDTF">2022-12-05T22:45:01Z</dcterms:modified>
</cp:coreProperties>
</file>